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05" yWindow="65521" windowWidth="12930" windowHeight="12555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<sst xmlns="http://schemas.openxmlformats.org/spreadsheetml/2006/main" count="167" uniqueCount="113">
  <si>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</si>
  <si>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</si>
  <si>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</si>
  <si>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</si>
  <si>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</si>
  <si>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</si>
  <si>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</si>
  <si>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</si>
  <si>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</si>
  <si>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</si>
  <si>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</si>
  <si>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</si>
  <si>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</si>
  <si>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</si>
  <si>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</si>
  <si>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</si>
  <si>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</si>
  <si>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</si>
  <si>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</si>
  <si>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</si>
  <si>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</si>
  <si>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</si>
  <si>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</si>
  <si>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</si>
  <si>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</si>
  <si>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</si>
  <si>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</si>
  <si>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</si>
  <si>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</si>
  <si>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</si>
  <si>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</si>
  <si>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</si>
  <si>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</si>
  <si>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</si>
  <si>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</si>
  <si>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</si>
  <si>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</si>
  <si>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</si>
  <si>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</si>
  <si>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</si>
  <si>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</si>
  <si>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</si>
  <si>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</si>
  <si>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</si>
  <si>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</si>
  <si>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</si>
  <si>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</si>
  <si>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</si>
  <si>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</si>
  <si>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</si>
  <si>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</si>
  <si>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</si>
  <si>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</si>
  <si>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</si>
  <si>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</si>
  <si>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</si>
  <si>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</si>
  <si>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</si>
  <si>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</si>
  <si>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</si>
  <si>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</si>
  <si>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</si>
  <si>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</si>
  <si>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</si>
  <si>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</si>
  <si>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</si>
  <si>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</si>
  <si>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</si>
  <si>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</si>
  <si>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</si>
  <si>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</si>
  <si>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</si>
  <si>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</si>
  <si>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</si>
  <si>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</si>
  <si>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</si>
  <si>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</si>
  <si>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</si>
  <si>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</si>
  <si>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</si>
  <si>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</si>
  <si>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</si>
  <si>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</si>
  <si>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</si>
  <si>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</si>
  <si>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</si>
  <si>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</si>
  <si>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</si>
  <si>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</si>
  <si>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</si>
  <si>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</si>
  <si>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</si>
  <si>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</si>
  <si>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</si>
  <si>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</si>
  <si>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</si>
  <si>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</si>
  <si>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</si>
  <si>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</si>
  <si>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</si>
  <si>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</si>
  <si>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</si>
  <si>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</si>
  <si>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</si>
  <si>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</si>
  <si>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</si>
  <si>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</si>
  <si>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</si>
  <si>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</si>
  <si>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Відхилення від  плану 4 місяців, тис.грн.</t>
  </si>
  <si>
    <t>Відсоток виконання  плану 4 місяців</t>
  </si>
  <si>
    <t>План на 4 місяці тис.грн.</t>
  </si>
  <si>
    <t>Аналіз використання коштів загального фонду міського бюджету станом на 10.04.2019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</si>
</sst>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5" fillId="33" borderId="14" xfId="0" applyNumberFormat="1" applyFont="1" applyFill="1" applyBorder="1" applyAlignment="1">
      <alignment wrapText="1"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0" fillId="35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4"/>
          <c:w val="0.853"/>
          <c:h val="0.65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'!$C$91</c:f>
              <c:numCache>
                <c:ptCount val="1"/>
                <c:pt idx="0">
                  <c:v>208652.8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'!$D$91</c:f>
              <c:numCache>
                <c:ptCount val="1"/>
                <c:pt idx="0">
                  <c:v>54469.100000000006</c:v>
                </c:pt>
              </c:numCache>
            </c:numRef>
          </c:val>
          <c:shape val="box"/>
        </c:ser>
        <c:shape val="box"/>
        <c:axId val="2299892"/>
        <c:axId val="20699029"/>
      </c:bar3DChart>
      <c:catAx>
        <c:axId val="2299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699029"/>
        <c:crosses val="autoZero"/>
        <c:auto val="1"/>
        <c:lblOffset val="100"/>
        <c:tickLblSkip val="1"/>
        <c:noMultiLvlLbl val="0"/>
      </c:catAx>
      <c:valAx>
        <c:axId val="206990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98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"/>
          <c:w val="0.8435"/>
          <c:h val="0.715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920082.2999999999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230216.00000000003</c:v>
                </c:pt>
              </c:numCache>
            </c:numRef>
          </c:val>
          <c:shape val="box"/>
        </c:ser>
        <c:shape val="box"/>
        <c:axId val="52073534"/>
        <c:axId val="66008623"/>
      </c:bar3DChart>
      <c:catAx>
        <c:axId val="52073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008623"/>
        <c:crosses val="autoZero"/>
        <c:auto val="1"/>
        <c:lblOffset val="100"/>
        <c:tickLblSkip val="1"/>
        <c:noMultiLvlLbl val="0"/>
      </c:catAx>
      <c:valAx>
        <c:axId val="660086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735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55"/>
          <c:w val="0.9295"/>
          <c:h val="0.671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417989.70000000007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105933.09999999996</c:v>
                </c:pt>
              </c:numCache>
            </c:numRef>
          </c:val>
          <c:shape val="box"/>
        </c:ser>
        <c:shape val="box"/>
        <c:axId val="57206696"/>
        <c:axId val="45098217"/>
      </c:bar3DChart>
      <c:catAx>
        <c:axId val="57206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098217"/>
        <c:crosses val="autoZero"/>
        <c:auto val="1"/>
        <c:lblOffset val="100"/>
        <c:tickLblSkip val="1"/>
        <c:noMultiLvlLbl val="0"/>
      </c:catAx>
      <c:valAx>
        <c:axId val="450982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066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6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26954.8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6607.499999999998</c:v>
                </c:pt>
              </c:numCache>
            </c:numRef>
          </c:val>
          <c:shape val="box"/>
        </c:ser>
        <c:shape val="box"/>
        <c:axId val="3230770"/>
        <c:axId val="29076931"/>
      </c:bar3DChart>
      <c:catAx>
        <c:axId val="3230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076931"/>
        <c:crosses val="autoZero"/>
        <c:auto val="1"/>
        <c:lblOffset val="100"/>
        <c:tickLblSkip val="1"/>
        <c:noMultiLvlLbl val="0"/>
      </c:catAx>
      <c:valAx>
        <c:axId val="290769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07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625"/>
          <c:w val="0.8635"/>
          <c:h val="0.66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54626.8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10556.400000000001</c:v>
                </c:pt>
              </c:numCache>
            </c:numRef>
          </c:val>
          <c:shape val="box"/>
        </c:ser>
        <c:shape val="box"/>
        <c:axId val="60365788"/>
        <c:axId val="6421181"/>
      </c:bar3DChart>
      <c:catAx>
        <c:axId val="60365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21181"/>
        <c:crosses val="autoZero"/>
        <c:auto val="1"/>
        <c:lblOffset val="100"/>
        <c:tickLblSkip val="2"/>
        <c:noMultiLvlLbl val="0"/>
      </c:catAx>
      <c:valAx>
        <c:axId val="64211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657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8"/>
          <c:w val="0.8775"/>
          <c:h val="0.69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10268.5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1127.9999999999998</c:v>
                </c:pt>
              </c:numCache>
            </c:numRef>
          </c:val>
          <c:shape val="box"/>
        </c:ser>
        <c:shape val="box"/>
        <c:axId val="57790630"/>
        <c:axId val="50353623"/>
      </c:bar3DChart>
      <c:catAx>
        <c:axId val="57790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353623"/>
        <c:crosses val="autoZero"/>
        <c:auto val="1"/>
        <c:lblOffset val="100"/>
        <c:tickLblSkip val="1"/>
        <c:noMultiLvlLbl val="0"/>
      </c:catAx>
      <c:valAx>
        <c:axId val="503536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906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2"/>
          <c:w val="0.85275"/>
          <c:h val="0.725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'!$C$96</c:f>
              <c:numCache>
                <c:ptCount val="1"/>
                <c:pt idx="0">
                  <c:v>130047.1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'!$D$96</c:f>
              <c:numCache>
                <c:ptCount val="1"/>
                <c:pt idx="0">
                  <c:v>23183.399999999994</c:v>
                </c:pt>
              </c:numCache>
            </c:numRef>
          </c:val>
          <c:shape val="box"/>
        </c:ser>
        <c:shape val="box"/>
        <c:axId val="50529424"/>
        <c:axId val="52111633"/>
      </c:bar3DChart>
      <c:catAx>
        <c:axId val="50529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111633"/>
        <c:crosses val="autoZero"/>
        <c:auto val="1"/>
        <c:lblOffset val="100"/>
        <c:tickLblSkip val="1"/>
        <c:noMultiLvlLbl val="0"/>
      </c:catAx>
      <c:valAx>
        <c:axId val="521116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294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5"/>
          <c:y val="0.14175"/>
          <c:w val="0.85125"/>
          <c:h val="0.58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'!$A$91,'аналіз фінансування '!$A$96)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'!$C$91,'аналіз фінансування '!$C$96)</c:f>
              <c:numCache>
                <c:ptCount val="7"/>
                <c:pt idx="0">
                  <c:v>920082.2999999999</c:v>
                </c:pt>
                <c:pt idx="1">
                  <c:v>417989.70000000007</c:v>
                </c:pt>
                <c:pt idx="2">
                  <c:v>26954.8</c:v>
                </c:pt>
                <c:pt idx="3">
                  <c:v>54626.8</c:v>
                </c:pt>
                <c:pt idx="4">
                  <c:v>10268.5</c:v>
                </c:pt>
                <c:pt idx="5">
                  <c:v>208652.8</c:v>
                </c:pt>
                <c:pt idx="6">
                  <c:v>130047.1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'!$A$91,'аналіз фінансування '!$A$96)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'!$D$91,'аналіз фінансування '!$D$96)</c:f>
              <c:numCache>
                <c:ptCount val="7"/>
                <c:pt idx="0">
                  <c:v>230216.00000000003</c:v>
                </c:pt>
                <c:pt idx="1">
                  <c:v>105933.09999999996</c:v>
                </c:pt>
                <c:pt idx="2">
                  <c:v>6607.499999999998</c:v>
                </c:pt>
                <c:pt idx="3">
                  <c:v>10556.400000000001</c:v>
                </c:pt>
                <c:pt idx="4">
                  <c:v>1127.9999999999998</c:v>
                </c:pt>
                <c:pt idx="5">
                  <c:v>54469.100000000006</c:v>
                </c:pt>
                <c:pt idx="6">
                  <c:v>23183.399999999994</c:v>
                </c:pt>
              </c:numCache>
            </c:numRef>
          </c:val>
          <c:shape val="box"/>
        </c:ser>
        <c:shape val="box"/>
        <c:axId val="66351514"/>
        <c:axId val="60292715"/>
      </c:bar3DChart>
      <c:catAx>
        <c:axId val="66351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292715"/>
        <c:crosses val="autoZero"/>
        <c:auto val="1"/>
        <c:lblOffset val="100"/>
        <c:tickLblSkip val="1"/>
        <c:noMultiLvlLbl val="0"/>
      </c:catAx>
      <c:valAx>
        <c:axId val="602927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515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25"/>
          <c:w val="0.23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30125"/>
          <c:w val="0.84125"/>
          <c:h val="0.4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'!$A$156:$A$161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'!$C$156:$C$161</c:f>
              <c:numCache>
                <c:ptCount val="6"/>
                <c:pt idx="0">
                  <c:v>987414.6</c:v>
                </c:pt>
                <c:pt idx="1">
                  <c:v>125178.8</c:v>
                </c:pt>
                <c:pt idx="2">
                  <c:v>48385.3</c:v>
                </c:pt>
                <c:pt idx="3">
                  <c:v>89940.20000000001</c:v>
                </c:pt>
                <c:pt idx="4">
                  <c:v>122.9</c:v>
                </c:pt>
                <c:pt idx="5">
                  <c:v>1252083.8900000004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'!$A$156:$A$161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'!$D$156:$D$161</c:f>
              <c:numCache>
                <c:ptCount val="6"/>
                <c:pt idx="0">
                  <c:v>238384.3</c:v>
                </c:pt>
                <c:pt idx="1">
                  <c:v>45733.7</c:v>
                </c:pt>
                <c:pt idx="2">
                  <c:v>14058.3</c:v>
                </c:pt>
                <c:pt idx="3">
                  <c:v>19101.399999999998</c:v>
                </c:pt>
                <c:pt idx="4">
                  <c:v>36.599999999999994</c:v>
                </c:pt>
                <c:pt idx="5">
                  <c:v>270923.00000000006</c:v>
                </c:pt>
              </c:numCache>
            </c:numRef>
          </c:val>
          <c:shape val="box"/>
        </c:ser>
        <c:shape val="box"/>
        <c:axId val="5763524"/>
        <c:axId val="51871717"/>
      </c:bar3DChart>
      <c:catAx>
        <c:axId val="5763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871717"/>
        <c:crosses val="autoZero"/>
        <c:auto val="1"/>
        <c:lblOffset val="100"/>
        <c:tickLblSkip val="1"/>
        <c:noMultiLvlLbl val="0"/>
      </c:catAx>
      <c:valAx>
        <c:axId val="518717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35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91075"/>
          <c:w val="0.50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619125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185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1096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0"/>
  <sheetViews>
    <sheetView tabSelected="1" view="pageBreakPreview" zoomScale="64" zoomScaleNormal="80" zoomScaleSheetLayoutView="64" workbookViewId="0" topLeftCell="A105">
      <selection activeCell="H140" sqref="H140"/>
    </sheetView>
  </sheetViews>
  <sheetFormatPr defaultColWidth="9.00390625" defaultRowHeight="12.75"/>
  <cols>
    <col min="1" max="1" width="66.875" style="133" customWidth="1"/>
    <col min="2" max="2" width="19.00390625" style="133" customWidth="1"/>
    <col min="3" max="3" width="18.375" style="134" customWidth="1"/>
    <col min="4" max="4" width="19.00390625" style="134" customWidth="1"/>
    <col min="5" max="5" width="17.25390625" style="134" customWidth="1"/>
    <col min="6" max="7" width="19.375" style="134" customWidth="1"/>
    <col min="8" max="8" width="19.75390625" style="134" customWidth="1"/>
    <col min="9" max="9" width="21.00390625" style="134" customWidth="1"/>
    <col min="10" max="10" width="9.125" style="134" customWidth="1"/>
    <col min="11" max="11" width="15.375" style="134" customWidth="1"/>
    <col min="12" max="12" width="9.125" style="134" customWidth="1"/>
    <col min="13" max="13" width="11.375" style="134" bestFit="1" customWidth="1"/>
    <col min="14" max="16384" width="9.125" style="134" customWidth="1"/>
  </cols>
  <sheetData>
    <row r="1" spans="1:9" ht="30">
      <c r="A1" s="157" t="s">
        <v>112</v>
      </c>
      <c r="B1" s="157"/>
      <c r="C1" s="157"/>
      <c r="D1" s="157"/>
      <c r="E1" s="157"/>
      <c r="F1" s="157"/>
      <c r="G1" s="157"/>
      <c r="H1" s="157"/>
      <c r="I1" s="157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58" t="s">
        <v>38</v>
      </c>
      <c r="B3" s="161" t="s">
        <v>111</v>
      </c>
      <c r="C3" s="164" t="s">
        <v>103</v>
      </c>
      <c r="D3" s="164" t="s">
        <v>20</v>
      </c>
      <c r="E3" s="164" t="s">
        <v>19</v>
      </c>
      <c r="F3" s="164" t="s">
        <v>110</v>
      </c>
      <c r="G3" s="164" t="s">
        <v>105</v>
      </c>
      <c r="H3" s="164" t="s">
        <v>109</v>
      </c>
      <c r="I3" s="164" t="s">
        <v>104</v>
      </c>
    </row>
    <row r="4" spans="1:9" ht="24.75" customHeight="1">
      <c r="A4" s="159"/>
      <c r="B4" s="162"/>
      <c r="C4" s="165"/>
      <c r="D4" s="165"/>
      <c r="E4" s="165"/>
      <c r="F4" s="165"/>
      <c r="G4" s="165"/>
      <c r="H4" s="165"/>
      <c r="I4" s="165"/>
    </row>
    <row r="5" spans="1:10" ht="39" customHeight="1" thickBot="1">
      <c r="A5" s="160"/>
      <c r="B5" s="163"/>
      <c r="C5" s="166"/>
      <c r="D5" s="166"/>
      <c r="E5" s="166"/>
      <c r="F5" s="166"/>
      <c r="G5" s="166"/>
      <c r="H5" s="166"/>
      <c r="I5" s="166"/>
      <c r="J5" s="142"/>
    </row>
    <row r="6" spans="1:12" ht="18.75" thickBot="1">
      <c r="A6" s="18" t="s">
        <v>24</v>
      </c>
      <c r="B6" s="34">
        <f>329342.2+7.6</f>
        <v>329349.8</v>
      </c>
      <c r="C6" s="35">
        <f>913995.7+3.2+21.3+6054.6-0.1+7.6</f>
        <v>920082.2999999999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+1146.4</f>
        <v>230216.00000000003</v>
      </c>
      <c r="E6" s="3">
        <f>D6/D155*100</f>
        <v>39.13658654423989</v>
      </c>
      <c r="F6" s="3">
        <f>D6/B6*100</f>
        <v>69.9001487172605</v>
      </c>
      <c r="G6" s="3">
        <f aca="true" t="shared" si="0" ref="G6:G43">D6/C6*100</f>
        <v>25.021239947774244</v>
      </c>
      <c r="H6" s="36">
        <f>B6-D6</f>
        <v>99133.79999999996</v>
      </c>
      <c r="I6" s="36">
        <f aca="true" t="shared" si="1" ref="I6:I43">C6-D6</f>
        <v>689866.2999999999</v>
      </c>
      <c r="J6" s="142"/>
      <c r="L6" s="143">
        <f>H6-H7</f>
        <v>76077.09999999995</v>
      </c>
    </row>
    <row r="7" spans="1:9" s="84" customFormat="1" ht="18.75">
      <c r="A7" s="125" t="s">
        <v>79</v>
      </c>
      <c r="B7" s="126">
        <v>92081.6</v>
      </c>
      <c r="C7" s="127">
        <f>298956.2+3.2</f>
        <v>298959.4</v>
      </c>
      <c r="D7" s="128">
        <f>12060.7+9623.1+1044.7+273.5+10510.2+12398.6+40.7+10550.7+12514+8.7</f>
        <v>69024.9</v>
      </c>
      <c r="E7" s="129">
        <f>D7/D6*100</f>
        <v>29.982668450498657</v>
      </c>
      <c r="F7" s="129">
        <f>D7/B7*100</f>
        <v>74.96057844346751</v>
      </c>
      <c r="G7" s="129">
        <f>D7/C7*100</f>
        <v>23.088385914609137</v>
      </c>
      <c r="H7" s="128">
        <f>B7-D7</f>
        <v>23056.70000000001</v>
      </c>
      <c r="I7" s="128">
        <f t="shared" si="1"/>
        <v>229934.50000000003</v>
      </c>
    </row>
    <row r="8" spans="1:9" s="142" customFormat="1" ht="18">
      <c r="A8" s="90" t="s">
        <v>3</v>
      </c>
      <c r="B8" s="112">
        <v>235489.2</v>
      </c>
      <c r="C8" s="113">
        <f>726684.4+3.2+2754.6</f>
        <v>729442.2</v>
      </c>
      <c r="D8" s="92">
        <f>20722.3+1.9+16592.9+1044.7+15069.2+2403.3+273.5+14243.2+10510.2+12398.6+19789.8+60.7+23573.1+21765.1+12514+5.3+4.8+8.7</f>
        <v>170981.3</v>
      </c>
      <c r="E8" s="94">
        <f>D8/D6*100</f>
        <v>74.26994648504012</v>
      </c>
      <c r="F8" s="94">
        <f>D8/B8*100</f>
        <v>72.60685415721824</v>
      </c>
      <c r="G8" s="94">
        <f t="shared" si="0"/>
        <v>23.440006624239725</v>
      </c>
      <c r="H8" s="92">
        <f>B8-D8</f>
        <v>64507.90000000002</v>
      </c>
      <c r="I8" s="92">
        <f t="shared" si="1"/>
        <v>558460.8999999999</v>
      </c>
    </row>
    <row r="9" spans="1:9" s="142" customFormat="1" ht="18">
      <c r="A9" s="90" t="s">
        <v>2</v>
      </c>
      <c r="B9" s="112">
        <v>51.7</v>
      </c>
      <c r="C9" s="113">
        <v>104.9</v>
      </c>
      <c r="D9" s="92">
        <f>16.3+0.9+0.3+8.7+9.7+0.3+0.4</f>
        <v>36.599999999999994</v>
      </c>
      <c r="E9" s="114">
        <f>D9/D6*100</f>
        <v>0.01589811307641519</v>
      </c>
      <c r="F9" s="94">
        <f>D9/B9*100</f>
        <v>70.79303675048354</v>
      </c>
      <c r="G9" s="94">
        <f t="shared" si="0"/>
        <v>34.890371782650135</v>
      </c>
      <c r="H9" s="92">
        <f aca="true" t="shared" si="2" ref="H9:H43">B9-D9</f>
        <v>15.100000000000009</v>
      </c>
      <c r="I9" s="92">
        <f t="shared" si="1"/>
        <v>68.30000000000001</v>
      </c>
    </row>
    <row r="10" spans="1:9" s="142" customFormat="1" ht="18">
      <c r="A10" s="90" t="s">
        <v>1</v>
      </c>
      <c r="B10" s="112">
        <v>19056.6</v>
      </c>
      <c r="C10" s="113">
        <v>43439.8</v>
      </c>
      <c r="D10" s="130">
        <f>525.8+44.4+601.2+43.3+356.4+55.6+22.2+1183.8+262+357.1+64+47.5+133.7+449.5+46.4+224.9+741.1+480.4+382.5-93.5+0.2+240.3+427.1+446.9+102.1+46+154.6+766.9+945+400+1+1121.4+59+682.9+18.7+363.3+73.4+41.9+403.7+10.1+702.9+518</f>
        <v>13453.699999999999</v>
      </c>
      <c r="E10" s="94">
        <f>D10/D6*100</f>
        <v>5.843946554540083</v>
      </c>
      <c r="F10" s="94">
        <f aca="true" t="shared" si="3" ref="F10:F41">D10/B10*100</f>
        <v>70.5986377423045</v>
      </c>
      <c r="G10" s="94">
        <f t="shared" si="0"/>
        <v>30.97090686421208</v>
      </c>
      <c r="H10" s="92">
        <f t="shared" si="2"/>
        <v>5602.9</v>
      </c>
      <c r="I10" s="92">
        <f t="shared" si="1"/>
        <v>29986.100000000006</v>
      </c>
    </row>
    <row r="11" spans="1:9" s="142" customFormat="1" ht="18">
      <c r="A11" s="90" t="s">
        <v>0</v>
      </c>
      <c r="B11" s="112">
        <v>58659.1</v>
      </c>
      <c r="C11" s="113">
        <v>98224.3</v>
      </c>
      <c r="D11" s="131">
        <f>39.4+1482.5+161.1+446.7+223.7+143.2+2067.6+42+0.7+3077.2+2292.1+4098.5+884.8+1.1+688.8+1267.7+920.8+531.8+2870.4+2522+1076.6+267.2+3290.1+1467.5+255.7+697.1+813.5+565.4+107.9+63.1-5.9+65.1+547.6+206.2+1957.7+517+1972.2+544.3</f>
        <v>38170.39999999999</v>
      </c>
      <c r="E11" s="94">
        <f>D11/D6*100</f>
        <v>16.580255064808693</v>
      </c>
      <c r="F11" s="94">
        <f t="shared" si="3"/>
        <v>65.07157457240221</v>
      </c>
      <c r="G11" s="94">
        <f t="shared" si="0"/>
        <v>38.86044492045246</v>
      </c>
      <c r="H11" s="92">
        <f t="shared" si="2"/>
        <v>20488.70000000001</v>
      </c>
      <c r="I11" s="92">
        <f t="shared" si="1"/>
        <v>60053.900000000016</v>
      </c>
    </row>
    <row r="12" spans="1:9" s="142" customFormat="1" ht="18">
      <c r="A12" s="90" t="s">
        <v>12</v>
      </c>
      <c r="B12" s="112">
        <v>4571</v>
      </c>
      <c r="C12" s="113">
        <f>13016.5-27.3</f>
        <v>12989.2</v>
      </c>
      <c r="D12" s="92">
        <f>134.7+863.6+21+169+134.3+503.1+242.3+376.7+419.7+11.5+196.3</f>
        <v>3072.2</v>
      </c>
      <c r="E12" s="94">
        <f>D12/D6*100</f>
        <v>1.334485874135594</v>
      </c>
      <c r="F12" s="94">
        <f t="shared" si="3"/>
        <v>67.21067600087508</v>
      </c>
      <c r="G12" s="94">
        <f t="shared" si="0"/>
        <v>23.65195701043944</v>
      </c>
      <c r="H12" s="92">
        <f>B12-D12</f>
        <v>1498.8000000000002</v>
      </c>
      <c r="I12" s="92">
        <f t="shared" si="1"/>
        <v>9917</v>
      </c>
    </row>
    <row r="13" spans="1:9" s="142" customFormat="1" ht="18.75" thickBot="1">
      <c r="A13" s="90" t="s">
        <v>25</v>
      </c>
      <c r="B13" s="113">
        <f>B6-B8-B9-B10-B11-B12</f>
        <v>11522.19999999999</v>
      </c>
      <c r="C13" s="113">
        <f>C6-C8-C9-C10-C11-C12</f>
        <v>35881.899999999965</v>
      </c>
      <c r="D13" s="113">
        <f>D6-D8-D9-D10-D11-D12</f>
        <v>4501.800000000058</v>
      </c>
      <c r="E13" s="94">
        <f>D13/D6*100</f>
        <v>1.9554679083990938</v>
      </c>
      <c r="F13" s="94">
        <f t="shared" si="3"/>
        <v>39.07066358855134</v>
      </c>
      <c r="G13" s="94">
        <f t="shared" si="0"/>
        <v>12.546158369540251</v>
      </c>
      <c r="H13" s="92">
        <f t="shared" si="2"/>
        <v>7020.399999999931</v>
      </c>
      <c r="I13" s="92">
        <f t="shared" si="1"/>
        <v>31380.099999999908</v>
      </c>
    </row>
    <row r="14" spans="1:10" s="29" customFormat="1" ht="18.75" customHeight="1" hidden="1">
      <c r="A14" s="69" t="s">
        <v>59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72">
        <f>B14-D14</f>
        <v>0</v>
      </c>
      <c r="I14" s="72">
        <f>C14-D14</f>
        <v>0</v>
      </c>
      <c r="J14" s="84"/>
    </row>
    <row r="15" spans="1:10" s="29" customFormat="1" ht="18.75" customHeight="1" hidden="1">
      <c r="A15" s="69" t="s">
        <v>56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72">
        <f>B15-D15</f>
        <v>0</v>
      </c>
      <c r="I15" s="72">
        <f>C15-D15</f>
        <v>0</v>
      </c>
      <c r="J15" s="84"/>
    </row>
    <row r="16" spans="1:10" s="29" customFormat="1" ht="19.5" hidden="1" thickBot="1">
      <c r="A16" s="69" t="s">
        <v>57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72">
        <f>B16-D16</f>
        <v>0</v>
      </c>
      <c r="I16" s="72">
        <f>C16-D16</f>
        <v>0</v>
      </c>
      <c r="J16" s="84"/>
    </row>
    <row r="17" spans="1:10" s="29" customFormat="1" ht="19.5" hidden="1" thickBot="1">
      <c r="A17" s="69" t="s">
        <v>58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72">
        <f>B17-D17</f>
        <v>0</v>
      </c>
      <c r="I17" s="72">
        <f>C17-D17</f>
        <v>0</v>
      </c>
      <c r="J17" s="84"/>
    </row>
    <row r="18" spans="1:12" ht="18.75" thickBot="1">
      <c r="A18" s="18" t="s">
        <v>17</v>
      </c>
      <c r="B18" s="34">
        <v>146882.8</v>
      </c>
      <c r="C18" s="35">
        <f>417020.2+71.9+897.7-0.1</f>
        <v>417989.70000000007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9880.4+236.6+6978.3+6921+371.7+499.9+9964.9+4030.7+430.2+29.9+505.9+258.6+9247.5+5793.8+177.6-0.3+50.4+1560.6+365+404.1+10080.2+6002.3+983.7+0.2+102.6+170.9+1929.3+5928.2+3314.6+5249.2+585.3+84+49.3-3.6-0.1+112+0.7+344.2+2929.9+1165.4+743.9+679.4+7774.7</f>
        <v>105933.09999999996</v>
      </c>
      <c r="E18" s="3">
        <f>D18/D155*100</f>
        <v>18.008565590791328</v>
      </c>
      <c r="F18" s="3">
        <f>D18/B18*100</f>
        <v>72.12083375316918</v>
      </c>
      <c r="G18" s="3">
        <f t="shared" si="0"/>
        <v>25.34347138218955</v>
      </c>
      <c r="H18" s="36">
        <f>B18-D18</f>
        <v>40949.700000000026</v>
      </c>
      <c r="I18" s="36">
        <f t="shared" si="1"/>
        <v>312056.6000000001</v>
      </c>
      <c r="J18" s="142"/>
      <c r="L18" s="143">
        <f>H18-H19</f>
        <v>32331.00000000003</v>
      </c>
    </row>
    <row r="19" spans="1:9" s="84" customFormat="1" ht="18.75">
      <c r="A19" s="125" t="s">
        <v>80</v>
      </c>
      <c r="B19" s="126">
        <v>68252.4</v>
      </c>
      <c r="C19" s="127">
        <f>204458.2+897.7</f>
        <v>205355.90000000002</v>
      </c>
      <c r="D19" s="128">
        <f>9880.4+236.6+6921+499.9+9964.9+430.2+258.6+5793.8+50.4+1023.5+21.4+9702.8+983.7+1447.3+3314.6+585.3+0.7+743.9+7774.7</f>
        <v>59633.7</v>
      </c>
      <c r="E19" s="129">
        <f>D19/D18*100</f>
        <v>56.29373632981572</v>
      </c>
      <c r="F19" s="129">
        <f t="shared" si="3"/>
        <v>87.37231218242876</v>
      </c>
      <c r="G19" s="129">
        <f t="shared" si="0"/>
        <v>29.03919488069249</v>
      </c>
      <c r="H19" s="128">
        <f t="shared" si="2"/>
        <v>8618.699999999997</v>
      </c>
      <c r="I19" s="128">
        <f t="shared" si="1"/>
        <v>145722.2</v>
      </c>
    </row>
    <row r="20" spans="1:9" s="142" customFormat="1" ht="18" hidden="1">
      <c r="A20" s="90" t="s">
        <v>5</v>
      </c>
      <c r="B20" s="112"/>
      <c r="C20" s="113"/>
      <c r="D20" s="92"/>
      <c r="E20" s="94">
        <f>D20/D18*100</f>
        <v>0</v>
      </c>
      <c r="F20" s="94" t="e">
        <f t="shared" si="3"/>
        <v>#DIV/0!</v>
      </c>
      <c r="G20" s="94" t="e">
        <f t="shared" si="0"/>
        <v>#DIV/0!</v>
      </c>
      <c r="H20" s="92">
        <f t="shared" si="2"/>
        <v>0</v>
      </c>
      <c r="I20" s="92">
        <f t="shared" si="1"/>
        <v>0</v>
      </c>
    </row>
    <row r="21" spans="1:9" s="142" customFormat="1" ht="18" hidden="1">
      <c r="A21" s="90" t="s">
        <v>2</v>
      </c>
      <c r="B21" s="112"/>
      <c r="C21" s="113"/>
      <c r="D21" s="92"/>
      <c r="E21" s="94">
        <f>D21/D18*100</f>
        <v>0</v>
      </c>
      <c r="F21" s="94" t="e">
        <f t="shared" si="3"/>
        <v>#DIV/0!</v>
      </c>
      <c r="G21" s="94" t="e">
        <f t="shared" si="0"/>
        <v>#DIV/0!</v>
      </c>
      <c r="H21" s="92">
        <f t="shared" si="2"/>
        <v>0</v>
      </c>
      <c r="I21" s="92">
        <f t="shared" si="1"/>
        <v>0</v>
      </c>
    </row>
    <row r="22" spans="1:9" s="142" customFormat="1" ht="18" hidden="1">
      <c r="A22" s="90" t="s">
        <v>1</v>
      </c>
      <c r="B22" s="112"/>
      <c r="C22" s="113"/>
      <c r="D22" s="92"/>
      <c r="E22" s="94">
        <f>D22/D18*100</f>
        <v>0</v>
      </c>
      <c r="F22" s="94" t="e">
        <f t="shared" si="3"/>
        <v>#DIV/0!</v>
      </c>
      <c r="G22" s="94" t="e">
        <f t="shared" si="0"/>
        <v>#DIV/0!</v>
      </c>
      <c r="H22" s="92">
        <f t="shared" si="2"/>
        <v>0</v>
      </c>
      <c r="I22" s="92">
        <f t="shared" si="1"/>
        <v>0</v>
      </c>
    </row>
    <row r="23" spans="1:9" s="142" customFormat="1" ht="18" hidden="1">
      <c r="A23" s="90" t="s">
        <v>0</v>
      </c>
      <c r="B23" s="112"/>
      <c r="C23" s="113"/>
      <c r="D23" s="92"/>
      <c r="E23" s="94">
        <f>D23/D18*100</f>
        <v>0</v>
      </c>
      <c r="F23" s="94" t="e">
        <f t="shared" si="3"/>
        <v>#DIV/0!</v>
      </c>
      <c r="G23" s="94" t="e">
        <f t="shared" si="0"/>
        <v>#DIV/0!</v>
      </c>
      <c r="H23" s="92">
        <f t="shared" si="2"/>
        <v>0</v>
      </c>
      <c r="I23" s="92">
        <f t="shared" si="1"/>
        <v>0</v>
      </c>
    </row>
    <row r="24" spans="1:9" s="142" customFormat="1" ht="18">
      <c r="A24" s="90" t="s">
        <v>12</v>
      </c>
      <c r="B24" s="112">
        <v>272.6</v>
      </c>
      <c r="C24" s="113">
        <v>999.4</v>
      </c>
      <c r="D24" s="92"/>
      <c r="E24" s="94">
        <f>D24/D18*100</f>
        <v>0</v>
      </c>
      <c r="F24" s="94">
        <f t="shared" si="3"/>
        <v>0</v>
      </c>
      <c r="G24" s="94">
        <f t="shared" si="0"/>
        <v>0</v>
      </c>
      <c r="H24" s="92">
        <f t="shared" si="2"/>
        <v>272.6</v>
      </c>
      <c r="I24" s="92">
        <f t="shared" si="1"/>
        <v>999.4</v>
      </c>
    </row>
    <row r="25" spans="1:9" s="142" customFormat="1" ht="18.75" thickBot="1">
      <c r="A25" s="90" t="s">
        <v>25</v>
      </c>
      <c r="B25" s="113">
        <f>B18-B24</f>
        <v>146610.19999999998</v>
      </c>
      <c r="C25" s="113">
        <f>C18-C24</f>
        <v>416990.30000000005</v>
      </c>
      <c r="D25" s="113">
        <f>D18-D24</f>
        <v>105933.09999999996</v>
      </c>
      <c r="E25" s="94">
        <f>D25/D18*100</f>
        <v>100</v>
      </c>
      <c r="F25" s="94">
        <f t="shared" si="3"/>
        <v>72.25493178510088</v>
      </c>
      <c r="G25" s="94">
        <f t="shared" si="0"/>
        <v>25.40421204042395</v>
      </c>
      <c r="H25" s="92">
        <f>B25-D25</f>
        <v>40677.10000000002</v>
      </c>
      <c r="I25" s="92">
        <f t="shared" si="1"/>
        <v>311057.20000000007</v>
      </c>
    </row>
    <row r="26" spans="1:10" ht="57" hidden="1" thickBot="1">
      <c r="A26" s="69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33">
        <f t="shared" si="2"/>
        <v>0</v>
      </c>
      <c r="I26" s="33">
        <f t="shared" si="1"/>
        <v>0</v>
      </c>
      <c r="J26" s="142"/>
    </row>
    <row r="27" spans="1:10" ht="36.75" customHeight="1" hidden="1">
      <c r="A27" s="69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33">
        <f t="shared" si="2"/>
        <v>0</v>
      </c>
      <c r="I27" s="33">
        <f t="shared" si="1"/>
        <v>0</v>
      </c>
      <c r="J27" s="142"/>
    </row>
    <row r="28" spans="1:10" ht="19.5" hidden="1" thickBot="1">
      <c r="A28" s="69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33">
        <f t="shared" si="2"/>
        <v>0</v>
      </c>
      <c r="I28" s="33">
        <f t="shared" si="1"/>
        <v>0</v>
      </c>
      <c r="J28" s="142"/>
    </row>
    <row r="29" spans="1:10" ht="39.75" customHeight="1" hidden="1">
      <c r="A29" s="69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33">
        <f t="shared" si="2"/>
        <v>0</v>
      </c>
      <c r="I29" s="33">
        <f t="shared" si="1"/>
        <v>0</v>
      </c>
      <c r="J29" s="142"/>
    </row>
    <row r="30" spans="1:10" ht="37.5" customHeight="1" hidden="1">
      <c r="A30" s="69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33">
        <f t="shared" si="2"/>
        <v>0</v>
      </c>
      <c r="I30" s="33">
        <f t="shared" si="1"/>
        <v>0</v>
      </c>
      <c r="J30" s="142"/>
    </row>
    <row r="31" spans="1:10" ht="36" customHeight="1" hidden="1">
      <c r="A31" s="69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33">
        <f t="shared" si="2"/>
        <v>0</v>
      </c>
      <c r="I31" s="33">
        <f t="shared" si="1"/>
        <v>0</v>
      </c>
      <c r="J31" s="142"/>
    </row>
    <row r="32" spans="1:10" ht="19.5" hidden="1" thickBot="1">
      <c r="A32" s="69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33">
        <f t="shared" si="2"/>
        <v>0</v>
      </c>
      <c r="I32" s="33">
        <f t="shared" si="1"/>
        <v>0</v>
      </c>
      <c r="J32" s="142"/>
    </row>
    <row r="33" spans="1:10" ht="18.75" thickBot="1">
      <c r="A33" s="18" t="s">
        <v>15</v>
      </c>
      <c r="B33" s="34">
        <v>9016.3</v>
      </c>
      <c r="C33" s="35">
        <v>26954.8</v>
      </c>
      <c r="D33" s="38">
        <f>238.4+293+43.5+2+39.3+520.9+174.4+181.2+85.5+20.9+137.9+290.2+173.9+53.1+2.1+1.1+14+954.2-0.1+111.5+189.8+1.9+691.6+343.2+7.5-0.1+137+2.4+142.9+7.4+11.4+645.7+261.4-0.1+185.8+10+194.2+438.5</f>
        <v>6607.499999999998</v>
      </c>
      <c r="E33" s="3">
        <f>D33/D155*100</f>
        <v>1.1232711696453113</v>
      </c>
      <c r="F33" s="3">
        <f>D33/B33*100</f>
        <v>73.28394130630079</v>
      </c>
      <c r="G33" s="3">
        <f t="shared" si="0"/>
        <v>24.51325923397687</v>
      </c>
      <c r="H33" s="36">
        <f t="shared" si="2"/>
        <v>2408.800000000001</v>
      </c>
      <c r="I33" s="36">
        <f t="shared" si="1"/>
        <v>20347.300000000003</v>
      </c>
      <c r="J33" s="142"/>
    </row>
    <row r="34" spans="1:9" s="142" customFormat="1" ht="18">
      <c r="A34" s="90" t="s">
        <v>3</v>
      </c>
      <c r="B34" s="112">
        <v>4597.1</v>
      </c>
      <c r="C34" s="113">
        <v>14255.8</v>
      </c>
      <c r="D34" s="92">
        <f>95.5+254.3+520.9+145.6+77.4+290.2+14+629.4+494.6+11.4+607.6+26.4+384.9</f>
        <v>3552.2000000000003</v>
      </c>
      <c r="E34" s="94">
        <f>D34/D33*100</f>
        <v>53.76012107453653</v>
      </c>
      <c r="F34" s="94">
        <f t="shared" si="3"/>
        <v>77.27045311174436</v>
      </c>
      <c r="G34" s="94">
        <f t="shared" si="0"/>
        <v>24.917577407090448</v>
      </c>
      <c r="H34" s="92">
        <f t="shared" si="2"/>
        <v>1044.9</v>
      </c>
      <c r="I34" s="92">
        <f t="shared" si="1"/>
        <v>10703.599999999999</v>
      </c>
    </row>
    <row r="35" spans="1:9" s="142" customFormat="1" ht="18">
      <c r="A35" s="90" t="s">
        <v>1</v>
      </c>
      <c r="B35" s="112">
        <v>22.5</v>
      </c>
      <c r="C35" s="113">
        <v>87.1</v>
      </c>
      <c r="D35" s="92">
        <f>10+2+7.5</f>
        <v>19.5</v>
      </c>
      <c r="E35" s="94">
        <f>D35/D33*100</f>
        <v>0.29511918274687865</v>
      </c>
      <c r="F35" s="94">
        <f t="shared" si="3"/>
        <v>86.66666666666667</v>
      </c>
      <c r="G35" s="94">
        <f t="shared" si="0"/>
        <v>22.388059701492537</v>
      </c>
      <c r="H35" s="92">
        <f t="shared" si="2"/>
        <v>3</v>
      </c>
      <c r="I35" s="92">
        <f t="shared" si="1"/>
        <v>67.6</v>
      </c>
    </row>
    <row r="36" spans="1:9" s="142" customFormat="1" ht="18">
      <c r="A36" s="90" t="s">
        <v>0</v>
      </c>
      <c r="B36" s="112">
        <v>1124.3</v>
      </c>
      <c r="C36" s="113">
        <v>2087.8</v>
      </c>
      <c r="D36" s="92">
        <f>1.1+273.8+98.4+76.8+0.5+2.1+0.3+6.6+52.2</f>
        <v>511.8000000000001</v>
      </c>
      <c r="E36" s="94">
        <f>D36/D33*100</f>
        <v>7.74574347332577</v>
      </c>
      <c r="F36" s="94">
        <f t="shared" si="3"/>
        <v>45.52165792048387</v>
      </c>
      <c r="G36" s="94">
        <f t="shared" si="0"/>
        <v>24.513842322061503</v>
      </c>
      <c r="H36" s="92">
        <f t="shared" si="2"/>
        <v>612.4999999999998</v>
      </c>
      <c r="I36" s="92">
        <f t="shared" si="1"/>
        <v>1576</v>
      </c>
    </row>
    <row r="37" spans="1:9" s="84" customFormat="1" ht="18.75">
      <c r="A37" s="103" t="s">
        <v>7</v>
      </c>
      <c r="B37" s="123">
        <v>234</v>
      </c>
      <c r="C37" s="124">
        <v>1082.6</v>
      </c>
      <c r="D37" s="96">
        <f>38.7+2+2.3+2.6+2.1+1.9+12.2+7.5+2.4+10</f>
        <v>81.7</v>
      </c>
      <c r="E37" s="99">
        <f>D37/D33*100</f>
        <v>1.2364737041241018</v>
      </c>
      <c r="F37" s="99">
        <f t="shared" si="3"/>
        <v>34.914529914529915</v>
      </c>
      <c r="G37" s="99">
        <f t="shared" si="0"/>
        <v>7.546646961019768</v>
      </c>
      <c r="H37" s="96">
        <f t="shared" si="2"/>
        <v>152.3</v>
      </c>
      <c r="I37" s="96">
        <f t="shared" si="1"/>
        <v>1000.8999999999999</v>
      </c>
    </row>
    <row r="38" spans="1:9" s="142" customFormat="1" ht="18">
      <c r="A38" s="90" t="s">
        <v>12</v>
      </c>
      <c r="B38" s="112">
        <v>76.7</v>
      </c>
      <c r="C38" s="113">
        <f>221.9+8.7</f>
        <v>230.6</v>
      </c>
      <c r="D38" s="113">
        <f>5.1+45.9</f>
        <v>51</v>
      </c>
      <c r="E38" s="94">
        <f>D38/D33*100</f>
        <v>0.7718501702610672</v>
      </c>
      <c r="F38" s="94">
        <f t="shared" si="3"/>
        <v>66.4928292046936</v>
      </c>
      <c r="G38" s="94">
        <f t="shared" si="0"/>
        <v>22.116218560277538</v>
      </c>
      <c r="H38" s="92">
        <f t="shared" si="2"/>
        <v>25.700000000000003</v>
      </c>
      <c r="I38" s="92">
        <f t="shared" si="1"/>
        <v>179.6</v>
      </c>
    </row>
    <row r="39" spans="1:9" s="142" customFormat="1" ht="18.75" thickBot="1">
      <c r="A39" s="90" t="s">
        <v>25</v>
      </c>
      <c r="B39" s="112">
        <f>B33-B34-B36-B37-B35-B38</f>
        <v>2961.699999999999</v>
      </c>
      <c r="C39" s="112">
        <f>C33-C34-C36-C37-C35-C38</f>
        <v>9210.9</v>
      </c>
      <c r="D39" s="112">
        <f>D33-D34-D36-D37-D35-D38</f>
        <v>2391.299999999998</v>
      </c>
      <c r="E39" s="94">
        <f>D39/D33*100</f>
        <v>36.190692395005655</v>
      </c>
      <c r="F39" s="94">
        <f t="shared" si="3"/>
        <v>80.74079076206229</v>
      </c>
      <c r="G39" s="94">
        <f t="shared" si="0"/>
        <v>25.96163241377062</v>
      </c>
      <c r="H39" s="92">
        <f>B39-D39</f>
        <v>570.400000000001</v>
      </c>
      <c r="I39" s="92">
        <f t="shared" si="1"/>
        <v>6819.600000000002</v>
      </c>
    </row>
    <row r="40" spans="1:10" ht="19.5" hidden="1" thickBot="1">
      <c r="A40" s="69" t="s">
        <v>64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72">
        <f>B40-D40</f>
        <v>0</v>
      </c>
      <c r="I40" s="72">
        <f t="shared" si="1"/>
        <v>0</v>
      </c>
      <c r="J40" s="142"/>
    </row>
    <row r="41" spans="1:10" ht="19.5" hidden="1" thickBot="1">
      <c r="A41" s="69" t="s">
        <v>65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72">
        <f>B41-D41</f>
        <v>0</v>
      </c>
      <c r="I41" s="72">
        <f t="shared" si="1"/>
        <v>0</v>
      </c>
      <c r="J41" s="142"/>
    </row>
    <row r="42" spans="1:10" ht="38.25" hidden="1" thickBot="1">
      <c r="A42" s="69" t="s">
        <v>66</v>
      </c>
      <c r="B42" s="70"/>
      <c r="C42" s="70"/>
      <c r="D42" s="70"/>
      <c r="E42" s="68"/>
      <c r="F42" s="68"/>
      <c r="G42" s="68" t="e">
        <f t="shared" si="0"/>
        <v>#DIV/0!</v>
      </c>
      <c r="H42" s="72">
        <f>B42-D42</f>
        <v>0</v>
      </c>
      <c r="I42" s="72">
        <f t="shared" si="1"/>
        <v>0</v>
      </c>
      <c r="J42" s="142"/>
    </row>
    <row r="43" spans="1:10" ht="19.5" thickBot="1">
      <c r="A43" s="11" t="s">
        <v>14</v>
      </c>
      <c r="B43" s="71">
        <v>307</v>
      </c>
      <c r="C43" s="35">
        <f>955.1+25</f>
        <v>980.1</v>
      </c>
      <c r="D43" s="36">
        <f>18+9.7+7.2+11.6+18.4+18.7+25.1+13.5+2.2+2+16.6+22.9+12</f>
        <v>177.90000000000003</v>
      </c>
      <c r="E43" s="3">
        <f>D43/D155*100</f>
        <v>0.030242896871721672</v>
      </c>
      <c r="F43" s="3">
        <f>D43/B43*100</f>
        <v>57.947882736156366</v>
      </c>
      <c r="G43" s="3">
        <f t="shared" si="0"/>
        <v>18.151209060299973</v>
      </c>
      <c r="H43" s="36">
        <f t="shared" si="2"/>
        <v>129.09999999999997</v>
      </c>
      <c r="I43" s="36">
        <f t="shared" si="1"/>
        <v>802.2</v>
      </c>
      <c r="J43" s="142"/>
    </row>
    <row r="44" spans="1:10" ht="18.75" thickBot="1">
      <c r="A44" s="155" t="s">
        <v>12</v>
      </c>
      <c r="B44" s="151">
        <v>0</v>
      </c>
      <c r="C44" s="152">
        <v>51.5</v>
      </c>
      <c r="D44" s="153">
        <v>0</v>
      </c>
      <c r="E44" s="154">
        <f>D44/D39*100</f>
        <v>0</v>
      </c>
      <c r="F44" s="154" t="e">
        <f>D44/B44*100</f>
        <v>#DIV/0!</v>
      </c>
      <c r="G44" s="154">
        <f>D44/C44*100</f>
        <v>0</v>
      </c>
      <c r="H44" s="153">
        <f>B44-D44</f>
        <v>0</v>
      </c>
      <c r="I44" s="153">
        <f>C44-D44</f>
        <v>51.5</v>
      </c>
      <c r="J44" s="142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42"/>
      <c r="K45" s="156"/>
    </row>
    <row r="46" spans="1:11" ht="18.75" thickBot="1">
      <c r="A46" s="18" t="s">
        <v>42</v>
      </c>
      <c r="B46" s="34">
        <v>5620.4</v>
      </c>
      <c r="C46" s="35">
        <v>16742.1</v>
      </c>
      <c r="D46" s="36">
        <f>346.4+682.6-0.1+14.1+556.7+0.1+721.1+127.1+71.4+15.4+390.3+13.9+56.1+905.8+4.8+61.3+2.9+439.8</f>
        <v>4409.700000000001</v>
      </c>
      <c r="E46" s="3">
        <f>D46/D155*100</f>
        <v>0.749646443705627</v>
      </c>
      <c r="F46" s="3">
        <f>D46/B46*100</f>
        <v>78.45882855312792</v>
      </c>
      <c r="G46" s="3">
        <f aca="true" t="shared" si="4" ref="G46:G77">D46/C46*100</f>
        <v>26.338989732470843</v>
      </c>
      <c r="H46" s="36">
        <f>B46-D46</f>
        <v>1210.699999999999</v>
      </c>
      <c r="I46" s="36">
        <f aca="true" t="shared" si="5" ref="I46:I78">C46-D46</f>
        <v>12332.399999999998</v>
      </c>
      <c r="J46" s="142"/>
      <c r="K46" s="156"/>
    </row>
    <row r="47" spans="1:11" s="142" customFormat="1" ht="18">
      <c r="A47" s="90" t="s">
        <v>3</v>
      </c>
      <c r="B47" s="112">
        <v>4866.2</v>
      </c>
      <c r="C47" s="113">
        <v>15270.9</v>
      </c>
      <c r="D47" s="92">
        <f>332.5+633.1+14.1+510.1+691.2+14.1+377.2-0.1+896.5+425</f>
        <v>3893.7</v>
      </c>
      <c r="E47" s="94">
        <f>D47/D46*100</f>
        <v>88.29852370909583</v>
      </c>
      <c r="F47" s="94">
        <f aca="true" t="shared" si="6" ref="F47:F75">D47/B47*100</f>
        <v>80.01520693765156</v>
      </c>
      <c r="G47" s="94">
        <f t="shared" si="4"/>
        <v>25.49751488124472</v>
      </c>
      <c r="H47" s="92">
        <f aca="true" t="shared" si="7" ref="H47:H75">B47-D47</f>
        <v>972.5</v>
      </c>
      <c r="I47" s="92">
        <f t="shared" si="5"/>
        <v>11377.2</v>
      </c>
      <c r="K47" s="156"/>
    </row>
    <row r="48" spans="1:11" s="142" customFormat="1" ht="18">
      <c r="A48" s="90" t="s">
        <v>2</v>
      </c>
      <c r="B48" s="112">
        <v>0.9</v>
      </c>
      <c r="C48" s="113">
        <v>1.6</v>
      </c>
      <c r="D48" s="92"/>
      <c r="E48" s="94">
        <f>D48/D46*100</f>
        <v>0</v>
      </c>
      <c r="F48" s="94">
        <f t="shared" si="6"/>
        <v>0</v>
      </c>
      <c r="G48" s="94">
        <f t="shared" si="4"/>
        <v>0</v>
      </c>
      <c r="H48" s="92">
        <f t="shared" si="7"/>
        <v>0.9</v>
      </c>
      <c r="I48" s="92">
        <f t="shared" si="5"/>
        <v>1.6</v>
      </c>
      <c r="K48" s="156"/>
    </row>
    <row r="49" spans="1:11" s="142" customFormat="1" ht="18">
      <c r="A49" s="90" t="s">
        <v>1</v>
      </c>
      <c r="B49" s="112">
        <v>31.5</v>
      </c>
      <c r="C49" s="113">
        <v>106.3</v>
      </c>
      <c r="D49" s="92">
        <f>8.3+10.5+10.2</f>
        <v>29</v>
      </c>
      <c r="E49" s="94">
        <f>D49/D46*100</f>
        <v>0.6576411093725196</v>
      </c>
      <c r="F49" s="94">
        <f t="shared" si="6"/>
        <v>92.06349206349206</v>
      </c>
      <c r="G49" s="94">
        <f t="shared" si="4"/>
        <v>27.281279397930387</v>
      </c>
      <c r="H49" s="92">
        <f t="shared" si="7"/>
        <v>2.5</v>
      </c>
      <c r="I49" s="92">
        <f t="shared" si="5"/>
        <v>77.3</v>
      </c>
      <c r="K49" s="156"/>
    </row>
    <row r="50" spans="1:11" s="142" customFormat="1" ht="18">
      <c r="A50" s="90" t="s">
        <v>0</v>
      </c>
      <c r="B50" s="112">
        <v>614.3</v>
      </c>
      <c r="C50" s="113">
        <v>998.4</v>
      </c>
      <c r="D50" s="92">
        <f>13.9+43.7+37.9+3.3+112.6+65.7+2.1+15.6+56.1+2.7+37.7</f>
        <v>391.3</v>
      </c>
      <c r="E50" s="94">
        <f>D50/D46*100</f>
        <v>8.873619520602308</v>
      </c>
      <c r="F50" s="94">
        <f t="shared" si="6"/>
        <v>63.69851863910142</v>
      </c>
      <c r="G50" s="94">
        <f t="shared" si="4"/>
        <v>39.192708333333336</v>
      </c>
      <c r="H50" s="92">
        <f t="shared" si="7"/>
        <v>222.99999999999994</v>
      </c>
      <c r="I50" s="92">
        <f t="shared" si="5"/>
        <v>607.0999999999999</v>
      </c>
      <c r="K50" s="156"/>
    </row>
    <row r="51" spans="1:11" s="142" customFormat="1" ht="18.75" thickBot="1">
      <c r="A51" s="90" t="s">
        <v>25</v>
      </c>
      <c r="B51" s="113">
        <f>B46-B47-B50-B49-B48</f>
        <v>107.49999999999986</v>
      </c>
      <c r="C51" s="113">
        <f>C46-C47-C50-C49-C48</f>
        <v>364.8999999999989</v>
      </c>
      <c r="D51" s="113">
        <f>D46-D47-D50-D49-D48</f>
        <v>95.7000000000009</v>
      </c>
      <c r="E51" s="94">
        <f>D51/D46*100</f>
        <v>2.170215660929335</v>
      </c>
      <c r="F51" s="94">
        <f t="shared" si="6"/>
        <v>89.02325581395444</v>
      </c>
      <c r="G51" s="94">
        <f t="shared" si="4"/>
        <v>26.2263633872297</v>
      </c>
      <c r="H51" s="92">
        <f t="shared" si="7"/>
        <v>11.79999999999896</v>
      </c>
      <c r="I51" s="92">
        <f t="shared" si="5"/>
        <v>269.199999999998</v>
      </c>
      <c r="K51" s="156"/>
    </row>
    <row r="52" spans="1:10" ht="18.75" thickBot="1">
      <c r="A52" s="18" t="s">
        <v>4</v>
      </c>
      <c r="B52" s="34">
        <v>18755.4</v>
      </c>
      <c r="C52" s="35">
        <v>54626.8</v>
      </c>
      <c r="D52" s="36">
        <f>721.7+145.3+5+112.8+1132.7+7.6+9.6+17.1+0.3+1056.5+185.3+56.2+95+1327.2+403.4+2.3+70.2+233.5+966+52.7+123+9.9-0.1+532.2+8.3+75.6+313.4+1771.2+5.9+0.1+98.2+182.6+0.5+835.2</f>
        <v>10556.400000000001</v>
      </c>
      <c r="E52" s="3">
        <f>D52/D155*100</f>
        <v>1.7945818804757878</v>
      </c>
      <c r="F52" s="3">
        <f>D52/B52*100</f>
        <v>56.28459003806904</v>
      </c>
      <c r="G52" s="3">
        <f t="shared" si="4"/>
        <v>19.324580608785432</v>
      </c>
      <c r="H52" s="36">
        <f>B52-D52</f>
        <v>8199</v>
      </c>
      <c r="I52" s="36">
        <f t="shared" si="5"/>
        <v>44070.4</v>
      </c>
      <c r="J52" s="142"/>
    </row>
    <row r="53" spans="1:9" s="142" customFormat="1" ht="18">
      <c r="A53" s="90" t="s">
        <v>3</v>
      </c>
      <c r="B53" s="112">
        <v>9043.2</v>
      </c>
      <c r="C53" s="113">
        <v>25959.9</v>
      </c>
      <c r="D53" s="92">
        <f>721.7+980.4+865.2+984.4+270.7+792.3+9.9+66.7+1210.9+835.2</f>
        <v>6737.399999999999</v>
      </c>
      <c r="E53" s="94">
        <f>D53/D52*100</f>
        <v>63.822894168466505</v>
      </c>
      <c r="F53" s="94">
        <f t="shared" si="6"/>
        <v>74.50238853503183</v>
      </c>
      <c r="G53" s="94">
        <f t="shared" si="4"/>
        <v>25.953104595934494</v>
      </c>
      <c r="H53" s="92">
        <f t="shared" si="7"/>
        <v>2305.800000000002</v>
      </c>
      <c r="I53" s="92">
        <f t="shared" si="5"/>
        <v>19222.500000000004</v>
      </c>
    </row>
    <row r="54" spans="1:9" s="142" customFormat="1" ht="18">
      <c r="A54" s="90" t="s">
        <v>2</v>
      </c>
      <c r="B54" s="112"/>
      <c r="C54" s="113">
        <v>16.4</v>
      </c>
      <c r="D54" s="92"/>
      <c r="E54" s="94">
        <f>D54/D52*100</f>
        <v>0</v>
      </c>
      <c r="F54" s="94" t="e">
        <f>D54/B54*100</f>
        <v>#DIV/0!</v>
      </c>
      <c r="G54" s="94">
        <f t="shared" si="4"/>
        <v>0</v>
      </c>
      <c r="H54" s="92">
        <f t="shared" si="7"/>
        <v>0</v>
      </c>
      <c r="I54" s="92">
        <f t="shared" si="5"/>
        <v>16.4</v>
      </c>
    </row>
    <row r="55" spans="1:9" s="142" customFormat="1" ht="18">
      <c r="A55" s="90" t="s">
        <v>1</v>
      </c>
      <c r="B55" s="112">
        <v>1487.2</v>
      </c>
      <c r="C55" s="113">
        <v>4332.1</v>
      </c>
      <c r="D55" s="92">
        <f>3.2+7.6+9.6+11.4+10.1+24.7+6.6+7.8+2.3+6.6+70.1+102.1+3.2+185.8+105</f>
        <v>556.0999999999999</v>
      </c>
      <c r="E55" s="94">
        <f>D55/D52*100</f>
        <v>5.267894357925049</v>
      </c>
      <c r="F55" s="94">
        <f t="shared" si="6"/>
        <v>37.39241527703066</v>
      </c>
      <c r="G55" s="94">
        <f t="shared" si="4"/>
        <v>12.836730454052303</v>
      </c>
      <c r="H55" s="92">
        <f t="shared" si="7"/>
        <v>931.1000000000001</v>
      </c>
      <c r="I55" s="92">
        <f t="shared" si="5"/>
        <v>3776.0000000000005</v>
      </c>
    </row>
    <row r="56" spans="1:9" s="142" customFormat="1" ht="18">
      <c r="A56" s="90" t="s">
        <v>0</v>
      </c>
      <c r="B56" s="112">
        <v>681.3</v>
      </c>
      <c r="C56" s="113">
        <v>1406.6</v>
      </c>
      <c r="D56" s="92">
        <f>0.3+1.2+21.4+80.5+2.4+14.5+22.9+268+5.9+0.1+8.8+0.5</f>
        <v>426.50000000000006</v>
      </c>
      <c r="E56" s="94">
        <f>D56/D52*100</f>
        <v>4.04020309954151</v>
      </c>
      <c r="F56" s="94">
        <f t="shared" si="6"/>
        <v>62.600910024952306</v>
      </c>
      <c r="G56" s="94">
        <f t="shared" si="4"/>
        <v>30.321342243708237</v>
      </c>
      <c r="H56" s="92">
        <f t="shared" si="7"/>
        <v>254.7999999999999</v>
      </c>
      <c r="I56" s="92">
        <f t="shared" si="5"/>
        <v>980.0999999999999</v>
      </c>
    </row>
    <row r="57" spans="1:9" s="142" customFormat="1" ht="18">
      <c r="A57" s="90" t="s">
        <v>12</v>
      </c>
      <c r="B57" s="112">
        <v>1456</v>
      </c>
      <c r="C57" s="113">
        <v>4640</v>
      </c>
      <c r="D57" s="113">
        <f>227+242</f>
        <v>469</v>
      </c>
      <c r="E57" s="94">
        <f>D57/D52*100</f>
        <v>4.442802470539198</v>
      </c>
      <c r="F57" s="94">
        <f>D57/B57*100</f>
        <v>32.21153846153847</v>
      </c>
      <c r="G57" s="94">
        <f>D57/C57*100</f>
        <v>10.107758620689655</v>
      </c>
      <c r="H57" s="92">
        <f t="shared" si="7"/>
        <v>987</v>
      </c>
      <c r="I57" s="92">
        <f t="shared" si="5"/>
        <v>4171</v>
      </c>
    </row>
    <row r="58" spans="1:9" s="142" customFormat="1" ht="18.75" thickBot="1">
      <c r="A58" s="90" t="s">
        <v>25</v>
      </c>
      <c r="B58" s="113">
        <f>B52-B53-B56-B55-B54-B57</f>
        <v>6087.700000000002</v>
      </c>
      <c r="C58" s="113">
        <f>C52-C53-C56-C55-C54-C57</f>
        <v>18271.800000000003</v>
      </c>
      <c r="D58" s="113">
        <f>D52-D53-D56-D55-D54-D57</f>
        <v>2367.400000000003</v>
      </c>
      <c r="E58" s="94">
        <f>D58/D52*100</f>
        <v>22.42620590352774</v>
      </c>
      <c r="F58" s="94">
        <f t="shared" si="6"/>
        <v>38.88825007802622</v>
      </c>
      <c r="G58" s="94">
        <f t="shared" si="4"/>
        <v>12.956577895992746</v>
      </c>
      <c r="H58" s="92">
        <f>B58-D58</f>
        <v>3720.299999999999</v>
      </c>
      <c r="I58" s="92">
        <f>C58-D58</f>
        <v>15904.4</v>
      </c>
    </row>
    <row r="59" spans="1:10" s="29" customFormat="1" ht="19.5" hidden="1" thickBot="1">
      <c r="A59" s="69" t="s">
        <v>63</v>
      </c>
      <c r="B59" s="67"/>
      <c r="C59" s="67"/>
      <c r="D59" s="67"/>
      <c r="E59" s="1"/>
      <c r="F59" s="68" t="e">
        <f t="shared" si="6"/>
        <v>#DIV/0!</v>
      </c>
      <c r="G59" s="68" t="e">
        <f t="shared" si="4"/>
        <v>#DIV/0!</v>
      </c>
      <c r="H59" s="72">
        <f t="shared" si="7"/>
        <v>0</v>
      </c>
      <c r="I59" s="72">
        <f>C59-D59</f>
        <v>0</v>
      </c>
      <c r="J59" s="84"/>
    </row>
    <row r="60" spans="1:10" ht="18.75" thickBot="1">
      <c r="A60" s="18" t="s">
        <v>6</v>
      </c>
      <c r="B60" s="34">
        <v>1630.1</v>
      </c>
      <c r="C60" s="35">
        <v>10268.5</v>
      </c>
      <c r="D60" s="36">
        <f>80.6+106+88.7+4.1+0.3+50.7+49.2+44+180.6+100.8+125+0.6+0.8+205.4-0.2+30.8+60.6</f>
        <v>1127.9999999999998</v>
      </c>
      <c r="E60" s="3">
        <f>D60/D155*100</f>
        <v>0.19175934610062972</v>
      </c>
      <c r="F60" s="3">
        <f>D60/B60*100</f>
        <v>69.19820869885282</v>
      </c>
      <c r="G60" s="3">
        <f t="shared" si="4"/>
        <v>10.98505137069679</v>
      </c>
      <c r="H60" s="36">
        <f>B60-D60</f>
        <v>502.10000000000014</v>
      </c>
      <c r="I60" s="36">
        <f t="shared" si="5"/>
        <v>9140.5</v>
      </c>
      <c r="J60" s="142"/>
    </row>
    <row r="61" spans="1:9" s="142" customFormat="1" ht="18">
      <c r="A61" s="90" t="s">
        <v>3</v>
      </c>
      <c r="B61" s="112">
        <v>1170.2</v>
      </c>
      <c r="C61" s="113">
        <v>3626.9</v>
      </c>
      <c r="D61" s="92">
        <f>80.6+106+88.7+4.1+50.7+38.1+180.6+95.6+203.1+54.2</f>
        <v>901.7000000000002</v>
      </c>
      <c r="E61" s="94">
        <f>D61/D60*100</f>
        <v>79.93794326241138</v>
      </c>
      <c r="F61" s="94">
        <f t="shared" si="6"/>
        <v>77.0552042385917</v>
      </c>
      <c r="G61" s="94">
        <f t="shared" si="4"/>
        <v>24.8614519286443</v>
      </c>
      <c r="H61" s="92">
        <f t="shared" si="7"/>
        <v>268.4999999999999</v>
      </c>
      <c r="I61" s="92">
        <f t="shared" si="5"/>
        <v>2725.2</v>
      </c>
    </row>
    <row r="62" spans="1:9" s="142" customFormat="1" ht="18">
      <c r="A62" s="90" t="s">
        <v>1</v>
      </c>
      <c r="B62" s="112">
        <v>0</v>
      </c>
      <c r="C62" s="113">
        <v>420</v>
      </c>
      <c r="D62" s="92"/>
      <c r="E62" s="94">
        <f>D62/D60*100</f>
        <v>0</v>
      </c>
      <c r="F62" s="94" t="e">
        <f>D62/B62*100</f>
        <v>#DIV/0!</v>
      </c>
      <c r="G62" s="94">
        <f t="shared" si="4"/>
        <v>0</v>
      </c>
      <c r="H62" s="92">
        <f t="shared" si="7"/>
        <v>0</v>
      </c>
      <c r="I62" s="92">
        <f t="shared" si="5"/>
        <v>420</v>
      </c>
    </row>
    <row r="63" spans="1:9" s="142" customFormat="1" ht="18">
      <c r="A63" s="90" t="s">
        <v>0</v>
      </c>
      <c r="B63" s="112">
        <v>298.6</v>
      </c>
      <c r="C63" s="113">
        <v>475.3</v>
      </c>
      <c r="D63" s="92">
        <f>9.6+44+118.7+0.1+30.8</f>
        <v>203.20000000000002</v>
      </c>
      <c r="E63" s="94">
        <f>D63/D60*100</f>
        <v>18.014184397163124</v>
      </c>
      <c r="F63" s="94">
        <f t="shared" si="6"/>
        <v>68.0509042196919</v>
      </c>
      <c r="G63" s="94">
        <f t="shared" si="4"/>
        <v>42.751946139280456</v>
      </c>
      <c r="H63" s="92">
        <f t="shared" si="7"/>
        <v>95.4</v>
      </c>
      <c r="I63" s="92">
        <f t="shared" si="5"/>
        <v>272.1</v>
      </c>
    </row>
    <row r="64" spans="1:9" s="142" customFormat="1" ht="18">
      <c r="A64" s="90" t="s">
        <v>12</v>
      </c>
      <c r="B64" s="112">
        <v>0</v>
      </c>
      <c r="C64" s="113">
        <v>4848.7</v>
      </c>
      <c r="D64" s="92"/>
      <c r="E64" s="94">
        <f>D64/D60*100</f>
        <v>0</v>
      </c>
      <c r="F64" s="94" t="e">
        <f t="shared" si="6"/>
        <v>#DIV/0!</v>
      </c>
      <c r="G64" s="94">
        <f t="shared" si="4"/>
        <v>0</v>
      </c>
      <c r="H64" s="92">
        <f t="shared" si="7"/>
        <v>0</v>
      </c>
      <c r="I64" s="92">
        <f t="shared" si="5"/>
        <v>4848.7</v>
      </c>
    </row>
    <row r="65" spans="1:9" s="142" customFormat="1" ht="18.75" thickBot="1">
      <c r="A65" s="90" t="s">
        <v>25</v>
      </c>
      <c r="B65" s="113">
        <f>B60-B61-B63-B64-B62</f>
        <v>161.29999999999984</v>
      </c>
      <c r="C65" s="113">
        <f>C60-C61-C63-C64-C62</f>
        <v>897.6000000000004</v>
      </c>
      <c r="D65" s="113">
        <f>D60-D61-D63-D64-D62</f>
        <v>23.099999999999596</v>
      </c>
      <c r="E65" s="94">
        <f>D65/D60*100</f>
        <v>2.0478723404254966</v>
      </c>
      <c r="F65" s="94">
        <f t="shared" si="6"/>
        <v>14.32114073155587</v>
      </c>
      <c r="G65" s="94">
        <f t="shared" si="4"/>
        <v>2.57352941176466</v>
      </c>
      <c r="H65" s="92">
        <f t="shared" si="7"/>
        <v>138.20000000000024</v>
      </c>
      <c r="I65" s="92">
        <f t="shared" si="5"/>
        <v>874.5000000000008</v>
      </c>
    </row>
    <row r="66" spans="1:10" s="29" customFormat="1" ht="19.5" hidden="1" thickBot="1">
      <c r="A66" s="69" t="s">
        <v>74</v>
      </c>
      <c r="B66" s="67"/>
      <c r="C66" s="67"/>
      <c r="D66" s="67"/>
      <c r="E66" s="68"/>
      <c r="F66" s="68" t="e">
        <f>D66/B66*100</f>
        <v>#DIV/0!</v>
      </c>
      <c r="G66" s="68" t="e">
        <f>D66/C66*100</f>
        <v>#DIV/0!</v>
      </c>
      <c r="H66" s="72">
        <f t="shared" si="7"/>
        <v>0</v>
      </c>
      <c r="I66" s="72">
        <f t="shared" si="5"/>
        <v>0</v>
      </c>
      <c r="J66" s="84"/>
    </row>
    <row r="67" spans="1:10" s="29" customFormat="1" ht="19.5" hidden="1" thickBot="1">
      <c r="A67" s="69" t="s">
        <v>60</v>
      </c>
      <c r="B67" s="67"/>
      <c r="C67" s="67"/>
      <c r="D67" s="67"/>
      <c r="E67" s="68"/>
      <c r="F67" s="68" t="e">
        <f t="shared" si="6"/>
        <v>#DIV/0!</v>
      </c>
      <c r="G67" s="68" t="e">
        <f t="shared" si="4"/>
        <v>#DIV/0!</v>
      </c>
      <c r="H67" s="72">
        <f t="shared" si="7"/>
        <v>0</v>
      </c>
      <c r="I67" s="72">
        <f t="shared" si="5"/>
        <v>0</v>
      </c>
      <c r="J67" s="84"/>
    </row>
    <row r="68" spans="1:10" s="29" customFormat="1" ht="19.5" hidden="1" thickBot="1">
      <c r="A68" s="69" t="s">
        <v>61</v>
      </c>
      <c r="B68" s="67"/>
      <c r="C68" s="67"/>
      <c r="D68" s="67"/>
      <c r="E68" s="68"/>
      <c r="F68" s="68" t="e">
        <f t="shared" si="6"/>
        <v>#DIV/0!</v>
      </c>
      <c r="G68" s="68" t="e">
        <f t="shared" si="4"/>
        <v>#DIV/0!</v>
      </c>
      <c r="H68" s="72">
        <f t="shared" si="7"/>
        <v>0</v>
      </c>
      <c r="I68" s="72">
        <f t="shared" si="5"/>
        <v>0</v>
      </c>
      <c r="J68" s="84"/>
    </row>
    <row r="69" spans="1:10" s="29" customFormat="1" ht="19.5" hidden="1" thickBot="1">
      <c r="A69" s="69" t="s">
        <v>62</v>
      </c>
      <c r="B69" s="67"/>
      <c r="C69" s="67"/>
      <c r="D69" s="67"/>
      <c r="E69" s="68"/>
      <c r="F69" s="68" t="e">
        <f t="shared" si="6"/>
        <v>#DIV/0!</v>
      </c>
      <c r="G69" s="68" t="e">
        <f t="shared" si="4"/>
        <v>#DIV/0!</v>
      </c>
      <c r="H69" s="72">
        <f t="shared" si="7"/>
        <v>0</v>
      </c>
      <c r="I69" s="72">
        <f t="shared" si="5"/>
        <v>0</v>
      </c>
      <c r="J69" s="84"/>
    </row>
    <row r="70" spans="1:10" ht="18.75" thickBot="1">
      <c r="A70" s="18" t="s">
        <v>18</v>
      </c>
      <c r="B70" s="35">
        <f>B71+B72</f>
        <v>286.4</v>
      </c>
      <c r="C70" s="35">
        <f>C71+C72</f>
        <v>525.3</v>
      </c>
      <c r="D70" s="36">
        <f>D71+D72</f>
        <v>174.3</v>
      </c>
      <c r="E70" s="27">
        <f>D70/D155*100</f>
        <v>0.02963089895863455</v>
      </c>
      <c r="F70" s="3">
        <f>D70/B70*100</f>
        <v>60.85893854748604</v>
      </c>
      <c r="G70" s="3">
        <f t="shared" si="4"/>
        <v>33.181039406053685</v>
      </c>
      <c r="H70" s="36">
        <f>B70-D70</f>
        <v>112.09999999999997</v>
      </c>
      <c r="I70" s="36">
        <f t="shared" si="5"/>
        <v>350.99999999999994</v>
      </c>
      <c r="J70" s="142"/>
    </row>
    <row r="71" spans="1:9" s="142" customFormat="1" ht="18">
      <c r="A71" s="90" t="s">
        <v>106</v>
      </c>
      <c r="B71" s="112">
        <v>217.3</v>
      </c>
      <c r="C71" s="113">
        <v>217.3</v>
      </c>
      <c r="D71" s="92">
        <f>50+117.3</f>
        <v>167.3</v>
      </c>
      <c r="E71" s="94">
        <f>D71/D70*100</f>
        <v>95.9839357429719</v>
      </c>
      <c r="F71" s="94">
        <f t="shared" si="6"/>
        <v>76.99033594109525</v>
      </c>
      <c r="G71" s="94">
        <f t="shared" si="4"/>
        <v>76.99033594109525</v>
      </c>
      <c r="H71" s="92">
        <f t="shared" si="7"/>
        <v>50</v>
      </c>
      <c r="I71" s="92">
        <f t="shared" si="5"/>
        <v>50</v>
      </c>
    </row>
    <row r="72" spans="1:9" s="142" customFormat="1" ht="18.75" thickBot="1">
      <c r="A72" s="90" t="s">
        <v>107</v>
      </c>
      <c r="B72" s="112">
        <f>91.8-22.7</f>
        <v>69.1</v>
      </c>
      <c r="C72" s="113">
        <f>396.5-65.8-22.7</f>
        <v>308</v>
      </c>
      <c r="D72" s="92">
        <f>0.6+6.4</f>
        <v>7</v>
      </c>
      <c r="E72" s="94">
        <f>D72/D71*100</f>
        <v>4.184100418410042</v>
      </c>
      <c r="F72" s="94">
        <f t="shared" si="6"/>
        <v>10.130246020260493</v>
      </c>
      <c r="G72" s="94">
        <f t="shared" si="4"/>
        <v>2.272727272727273</v>
      </c>
      <c r="H72" s="92">
        <f t="shared" si="7"/>
        <v>62.099999999999994</v>
      </c>
      <c r="I72" s="92">
        <f t="shared" si="5"/>
        <v>301</v>
      </c>
    </row>
    <row r="73" spans="1:10" ht="38.25" hidden="1" thickBot="1">
      <c r="A73" s="11" t="s">
        <v>39</v>
      </c>
      <c r="B73" s="41"/>
      <c r="C73" s="35">
        <f>C74+C75+C76+C77</f>
        <v>0</v>
      </c>
      <c r="D73" s="35">
        <f>D74+D75+D76+D77</f>
        <v>0</v>
      </c>
      <c r="E73" s="3">
        <f>D73/D155*100</f>
        <v>0</v>
      </c>
      <c r="F73" s="3" t="e">
        <f>D73/B73*100</f>
        <v>#DIV/0!</v>
      </c>
      <c r="G73" s="3" t="e">
        <f t="shared" si="4"/>
        <v>#DIV/0!</v>
      </c>
      <c r="H73" s="36">
        <f>B73-D73</f>
        <v>0</v>
      </c>
      <c r="I73" s="36">
        <f t="shared" si="5"/>
        <v>0</v>
      </c>
      <c r="J73" s="142"/>
    </row>
    <row r="74" spans="1:10" ht="19.5" hidden="1" thickBot="1">
      <c r="A74" s="15" t="s">
        <v>43</v>
      </c>
      <c r="B74" s="39"/>
      <c r="C74" s="45"/>
      <c r="D74" s="37"/>
      <c r="E74" s="24" t="e">
        <f>D74/D73*100</f>
        <v>#DIV/0!</v>
      </c>
      <c r="F74" s="1" t="e">
        <f t="shared" si="6"/>
        <v>#DIV/0!</v>
      </c>
      <c r="G74" s="1" t="e">
        <f t="shared" si="4"/>
        <v>#DIV/0!</v>
      </c>
      <c r="H74" s="33">
        <f t="shared" si="7"/>
        <v>0</v>
      </c>
      <c r="I74" s="33">
        <f t="shared" si="5"/>
        <v>0</v>
      </c>
      <c r="J74" s="142"/>
    </row>
    <row r="75" spans="1:10" ht="19.5" hidden="1" thickBot="1">
      <c r="A75" s="15" t="s">
        <v>44</v>
      </c>
      <c r="B75" s="39"/>
      <c r="C75" s="45"/>
      <c r="D75" s="37"/>
      <c r="E75" s="24" t="e">
        <f>D75/D73*100</f>
        <v>#DIV/0!</v>
      </c>
      <c r="F75" s="1" t="e">
        <f t="shared" si="6"/>
        <v>#DIV/0!</v>
      </c>
      <c r="G75" s="1" t="e">
        <f t="shared" si="4"/>
        <v>#DIV/0!</v>
      </c>
      <c r="H75" s="33">
        <f t="shared" si="7"/>
        <v>0</v>
      </c>
      <c r="I75" s="33">
        <f t="shared" si="5"/>
        <v>0</v>
      </c>
      <c r="J75" s="142"/>
    </row>
    <row r="76" spans="1:10" ht="19.5" hidden="1" thickBot="1">
      <c r="A76" s="20" t="s">
        <v>32</v>
      </c>
      <c r="B76" s="46"/>
      <c r="C76" s="47"/>
      <c r="D76" s="48"/>
      <c r="E76" s="24" t="e">
        <f>D76/D73*100</f>
        <v>#DIV/0!</v>
      </c>
      <c r="F76" s="24"/>
      <c r="G76" s="1" t="e">
        <f t="shared" si="4"/>
        <v>#DIV/0!</v>
      </c>
      <c r="H76" s="33"/>
      <c r="I76" s="33">
        <f t="shared" si="5"/>
        <v>0</v>
      </c>
      <c r="J76" s="142"/>
    </row>
    <row r="77" spans="1:10" ht="19.5" hidden="1" thickBot="1">
      <c r="A77" s="20" t="s">
        <v>40</v>
      </c>
      <c r="B77" s="46"/>
      <c r="C77" s="47"/>
      <c r="D77" s="48"/>
      <c r="E77" s="24" t="e">
        <f>D77/D73*100</f>
        <v>#DIV/0!</v>
      </c>
      <c r="F77" s="24"/>
      <c r="G77" s="1" t="e">
        <f t="shared" si="4"/>
        <v>#DIV/0!</v>
      </c>
      <c r="H77" s="33"/>
      <c r="I77" s="33">
        <f t="shared" si="5"/>
        <v>0</v>
      </c>
      <c r="J77" s="142"/>
    </row>
    <row r="78" spans="1:10" s="29" customFormat="1" ht="19.5" thickBot="1">
      <c r="A78" s="21" t="s">
        <v>11</v>
      </c>
      <c r="B78" s="42">
        <f>3333.3-3233.3</f>
        <v>100</v>
      </c>
      <c r="C78" s="49">
        <f>10000-9900</f>
        <v>100</v>
      </c>
      <c r="D78" s="50"/>
      <c r="E78" s="30"/>
      <c r="F78" s="30"/>
      <c r="G78" s="30"/>
      <c r="H78" s="50">
        <f>B78-D78</f>
        <v>100</v>
      </c>
      <c r="I78" s="50">
        <f t="shared" si="5"/>
        <v>100</v>
      </c>
      <c r="J78" s="84"/>
    </row>
    <row r="79" spans="1:10" ht="8.25" customHeight="1" thickBot="1">
      <c r="A79" s="15"/>
      <c r="B79" s="39"/>
      <c r="C79" s="47"/>
      <c r="D79" s="48"/>
      <c r="E79" s="6"/>
      <c r="F79" s="6"/>
      <c r="G79" s="6"/>
      <c r="H79" s="48"/>
      <c r="I79" s="144"/>
      <c r="J79" s="142"/>
    </row>
    <row r="80" spans="1:10" ht="18.75" customHeight="1" hidden="1" thickBot="1">
      <c r="A80" s="11" t="s">
        <v>54</v>
      </c>
      <c r="B80" s="41"/>
      <c r="C80" s="35"/>
      <c r="D80" s="35"/>
      <c r="E80" s="3">
        <f>D80/D155*100</f>
        <v>0</v>
      </c>
      <c r="F80" s="3" t="e">
        <f>D80/B80*100</f>
        <v>#DIV/0!</v>
      </c>
      <c r="G80" s="3" t="e">
        <f aca="true" t="shared" si="8" ref="G80:G94">D80/C80*100</f>
        <v>#DIV/0!</v>
      </c>
      <c r="H80" s="36">
        <f>B80-D80</f>
        <v>0</v>
      </c>
      <c r="I80" s="36">
        <f aca="true" t="shared" si="9" ref="I80:I94">C80-D80</f>
        <v>0</v>
      </c>
      <c r="J80" s="142"/>
    </row>
    <row r="81" spans="1:10" s="8" customFormat="1" ht="18.75" hidden="1" thickBot="1">
      <c r="A81" s="9" t="s">
        <v>53</v>
      </c>
      <c r="B81" s="51"/>
      <c r="C81" s="32"/>
      <c r="D81" s="33"/>
      <c r="E81" s="66"/>
      <c r="F81" s="1" t="e">
        <f>D81/B81*100</f>
        <v>#DIV/0!</v>
      </c>
      <c r="G81" s="1" t="e">
        <f t="shared" si="8"/>
        <v>#DIV/0!</v>
      </c>
      <c r="H81" s="33">
        <f>B81-D81</f>
        <v>0</v>
      </c>
      <c r="I81" s="33">
        <f t="shared" si="9"/>
        <v>0</v>
      </c>
      <c r="J81" s="141"/>
    </row>
    <row r="82" spans="1:10" s="8" customFormat="1" ht="31.5" hidden="1" thickBot="1">
      <c r="A82" s="9" t="s">
        <v>51</v>
      </c>
      <c r="B82" s="51"/>
      <c r="C82" s="32"/>
      <c r="D82" s="33"/>
      <c r="E82" s="66"/>
      <c r="F82" s="1" t="e">
        <f>D82/B82*100</f>
        <v>#DIV/0!</v>
      </c>
      <c r="G82" s="1" t="e">
        <f t="shared" si="8"/>
        <v>#DIV/0!</v>
      </c>
      <c r="H82" s="33">
        <f>B82-D82</f>
        <v>0</v>
      </c>
      <c r="I82" s="33">
        <f t="shared" si="9"/>
        <v>0</v>
      </c>
      <c r="J82" s="141"/>
    </row>
    <row r="83" spans="1:10" s="8" customFormat="1" ht="16.5" customHeight="1" hidden="1">
      <c r="A83" s="9" t="s">
        <v>31</v>
      </c>
      <c r="B83" s="51"/>
      <c r="C83" s="32"/>
      <c r="D83" s="33"/>
      <c r="E83" s="1" t="e">
        <f>D83/D80*100</f>
        <v>#DIV/0!</v>
      </c>
      <c r="F83" s="1"/>
      <c r="G83" s="1" t="e">
        <f t="shared" si="8"/>
        <v>#DIV/0!</v>
      </c>
      <c r="H83" s="33"/>
      <c r="I83" s="33">
        <f t="shared" si="9"/>
        <v>0</v>
      </c>
      <c r="J83" s="141"/>
    </row>
    <row r="84" spans="1:10" s="8" customFormat="1" ht="33" customHeight="1" hidden="1" thickBot="1">
      <c r="A84" s="9" t="s">
        <v>37</v>
      </c>
      <c r="B84" s="51"/>
      <c r="C84" s="32"/>
      <c r="D84" s="32"/>
      <c r="E84" s="1" t="e">
        <f>D84/D80*100</f>
        <v>#DIV/0!</v>
      </c>
      <c r="F84" s="1"/>
      <c r="G84" s="1" t="e">
        <f t="shared" si="8"/>
        <v>#DIV/0!</v>
      </c>
      <c r="H84" s="33"/>
      <c r="I84" s="33">
        <f t="shared" si="9"/>
        <v>0</v>
      </c>
      <c r="J84" s="141"/>
    </row>
    <row r="85" spans="1:10" ht="35.25" customHeight="1" hidden="1" thickBot="1">
      <c r="A85" s="11" t="s">
        <v>33</v>
      </c>
      <c r="B85" s="41"/>
      <c r="C85" s="35"/>
      <c r="D85" s="35"/>
      <c r="E85" s="3">
        <f>D85/D155*100</f>
        <v>0</v>
      </c>
      <c r="F85" s="3"/>
      <c r="G85" s="3" t="e">
        <f t="shared" si="8"/>
        <v>#DIV/0!</v>
      </c>
      <c r="H85" s="36"/>
      <c r="I85" s="36">
        <f t="shared" si="9"/>
        <v>0</v>
      </c>
      <c r="J85" s="142"/>
    </row>
    <row r="86" spans="1:10" ht="16.5" customHeight="1" hidden="1">
      <c r="A86" s="19" t="s">
        <v>21</v>
      </c>
      <c r="B86" s="31"/>
      <c r="C86" s="47"/>
      <c r="D86" s="47"/>
      <c r="E86" s="6" t="e">
        <f>D86/D85*100</f>
        <v>#DIV/0!</v>
      </c>
      <c r="F86" s="6"/>
      <c r="G86" s="6" t="e">
        <f t="shared" si="8"/>
        <v>#DIV/0!</v>
      </c>
      <c r="H86" s="48"/>
      <c r="I86" s="33">
        <f t="shared" si="9"/>
        <v>0</v>
      </c>
      <c r="J86" s="142"/>
    </row>
    <row r="87" spans="1:10" ht="16.5" customHeight="1" hidden="1" thickBot="1">
      <c r="A87" s="19" t="s">
        <v>22</v>
      </c>
      <c r="B87" s="31"/>
      <c r="C87" s="47"/>
      <c r="D87" s="47"/>
      <c r="E87" s="6" t="e">
        <f>D87/D85*100</f>
        <v>#DIV/0!</v>
      </c>
      <c r="F87" s="6"/>
      <c r="G87" s="6" t="e">
        <f t="shared" si="8"/>
        <v>#DIV/0!</v>
      </c>
      <c r="H87" s="48"/>
      <c r="I87" s="33">
        <f t="shared" si="9"/>
        <v>0</v>
      </c>
      <c r="J87" s="142"/>
    </row>
    <row r="88" spans="1:10" ht="34.5" customHeight="1" hidden="1" thickBot="1">
      <c r="A88" s="11" t="s">
        <v>34</v>
      </c>
      <c r="B88" s="41"/>
      <c r="C88" s="35"/>
      <c r="D88" s="35"/>
      <c r="E88" s="3">
        <f>D88/D155*100</f>
        <v>0</v>
      </c>
      <c r="F88" s="3"/>
      <c r="G88" s="3" t="e">
        <f t="shared" si="8"/>
        <v>#DIV/0!</v>
      </c>
      <c r="H88" s="36"/>
      <c r="I88" s="36">
        <f t="shared" si="9"/>
        <v>0</v>
      </c>
      <c r="J88" s="142"/>
    </row>
    <row r="89" spans="1:10" ht="17.25" customHeight="1" hidden="1">
      <c r="A89" s="19" t="s">
        <v>21</v>
      </c>
      <c r="B89" s="31"/>
      <c r="C89" s="32"/>
      <c r="D89" s="33"/>
      <c r="E89" s="1" t="e">
        <f>D89/D88*100</f>
        <v>#DIV/0!</v>
      </c>
      <c r="F89" s="1"/>
      <c r="G89" s="1" t="e">
        <f t="shared" si="8"/>
        <v>#DIV/0!</v>
      </c>
      <c r="H89" s="33"/>
      <c r="I89" s="33">
        <f t="shared" si="9"/>
        <v>0</v>
      </c>
      <c r="J89" s="142"/>
    </row>
    <row r="90" spans="1:10" ht="17.25" customHeight="1" hidden="1" thickBot="1">
      <c r="A90" s="19" t="s">
        <v>22</v>
      </c>
      <c r="B90" s="31"/>
      <c r="C90" s="32"/>
      <c r="D90" s="33"/>
      <c r="E90" s="1" t="e">
        <f>D90/D88*100</f>
        <v>#DIV/0!</v>
      </c>
      <c r="F90" s="1"/>
      <c r="G90" s="1" t="e">
        <f t="shared" si="8"/>
        <v>#DIV/0!</v>
      </c>
      <c r="H90" s="33"/>
      <c r="I90" s="33">
        <f t="shared" si="9"/>
        <v>0</v>
      </c>
      <c r="J90" s="142"/>
    </row>
    <row r="91" spans="1:10" ht="19.5" thickBot="1">
      <c r="A91" s="11" t="s">
        <v>8</v>
      </c>
      <c r="B91" s="41">
        <v>74175.7</v>
      </c>
      <c r="C91" s="35">
        <f>208452.8+200</f>
        <v>208652.8</v>
      </c>
      <c r="D91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+2098.5</f>
        <v>54469.100000000006</v>
      </c>
      <c r="E91" s="3">
        <f>D91/D155*100</f>
        <v>9.259715424370404</v>
      </c>
      <c r="F91" s="3">
        <f aca="true" t="shared" si="10" ref="F91:F97">D91/B91*100</f>
        <v>73.43253922780643</v>
      </c>
      <c r="G91" s="3">
        <f t="shared" si="8"/>
        <v>26.105137338200112</v>
      </c>
      <c r="H91" s="36">
        <f aca="true" t="shared" si="11" ref="H91:H97">B91-D91</f>
        <v>19706.59999999999</v>
      </c>
      <c r="I91" s="36">
        <f t="shared" si="9"/>
        <v>154183.69999999998</v>
      </c>
      <c r="J91" s="142"/>
    </row>
    <row r="92" spans="1:9" s="142" customFormat="1" ht="21.75" customHeight="1">
      <c r="A92" s="90" t="s">
        <v>3</v>
      </c>
      <c r="B92" s="112">
        <v>69303.9</v>
      </c>
      <c r="C92" s="113">
        <f>195523.2+200</f>
        <v>195723.2</v>
      </c>
      <c r="D92" s="92">
        <f>244+2447.7+2707.4+7.9+32.8+292+16+4.4+487.2+6367.9-0.1+2554.5+39.8+0.3+122+1.4+575.3+1176+3828+1657.6+10+5.7+877.3+7018.3+1997.5+99.9+196.5+40.7+134.2+1.1+1320.5+3625.9+1272.5-0.3+130.1+0.9+1054+1991.7+5764.4+865.1+404.9+294.9+22.6+39.9+14.8+1918.5</f>
        <v>51663.69999999999</v>
      </c>
      <c r="E92" s="94">
        <f>D92/D91*100</f>
        <v>94.84955690474047</v>
      </c>
      <c r="F92" s="94">
        <f t="shared" si="10"/>
        <v>74.54659838768092</v>
      </c>
      <c r="G92" s="94">
        <f t="shared" si="8"/>
        <v>26.39630866448126</v>
      </c>
      <c r="H92" s="92">
        <f t="shared" si="11"/>
        <v>17640.200000000004</v>
      </c>
      <c r="I92" s="92">
        <f t="shared" si="9"/>
        <v>144059.50000000003</v>
      </c>
    </row>
    <row r="93" spans="1:9" s="142" customFormat="1" ht="18">
      <c r="A93" s="90" t="s">
        <v>23</v>
      </c>
      <c r="B93" s="112">
        <v>1313.2</v>
      </c>
      <c r="C93" s="113">
        <v>2704.7</v>
      </c>
      <c r="D93" s="92">
        <f>56.2+5.4+7.1+340.1+77+0.5+3+170+5.7+0.1+23.6+4.9+3.8+156.9</f>
        <v>854.3</v>
      </c>
      <c r="E93" s="94">
        <f>D93/D91*100</f>
        <v>1.5684121823198838</v>
      </c>
      <c r="F93" s="94">
        <f t="shared" si="10"/>
        <v>65.05482790130978</v>
      </c>
      <c r="G93" s="94">
        <f t="shared" si="8"/>
        <v>31.585758124745812</v>
      </c>
      <c r="H93" s="92">
        <f t="shared" si="11"/>
        <v>458.9000000000001</v>
      </c>
      <c r="I93" s="92">
        <f t="shared" si="9"/>
        <v>1850.3999999999999</v>
      </c>
    </row>
    <row r="94" spans="1:9" s="142" customFormat="1" ht="18" hidden="1">
      <c r="A94" s="90" t="s">
        <v>12</v>
      </c>
      <c r="B94" s="112"/>
      <c r="C94" s="113"/>
      <c r="D94" s="113"/>
      <c r="E94" s="114">
        <f>D94/D91*100</f>
        <v>0</v>
      </c>
      <c r="F94" s="94"/>
      <c r="G94" s="94" t="e">
        <f t="shared" si="8"/>
        <v>#DIV/0!</v>
      </c>
      <c r="H94" s="92">
        <f t="shared" si="11"/>
        <v>0</v>
      </c>
      <c r="I94" s="92">
        <f t="shared" si="9"/>
        <v>0</v>
      </c>
    </row>
    <row r="95" spans="1:9" s="142" customFormat="1" ht="18.75" thickBot="1">
      <c r="A95" s="90" t="s">
        <v>25</v>
      </c>
      <c r="B95" s="113">
        <f>B91-B92-B93-B94</f>
        <v>3558.600000000003</v>
      </c>
      <c r="C95" s="113">
        <f>C91-C92-C93-C94</f>
        <v>10224.899999999976</v>
      </c>
      <c r="D95" s="113">
        <f>D91-D92-D93-D94</f>
        <v>1951.100000000016</v>
      </c>
      <c r="E95" s="94">
        <f>D95/D91*100</f>
        <v>3.582030912939659</v>
      </c>
      <c r="F95" s="94">
        <f t="shared" si="10"/>
        <v>54.827741246558034</v>
      </c>
      <c r="G95" s="94">
        <f>D95/C95*100</f>
        <v>19.081849211239433</v>
      </c>
      <c r="H95" s="92">
        <f t="shared" si="11"/>
        <v>1607.499999999987</v>
      </c>
      <c r="I95" s="92">
        <f>C95-D95</f>
        <v>8273.79999999996</v>
      </c>
    </row>
    <row r="96" spans="1:10" ht="18.75">
      <c r="A96" s="75" t="s">
        <v>10</v>
      </c>
      <c r="B96" s="83">
        <f>37189-185.6+44.8-3000</f>
        <v>34048.200000000004</v>
      </c>
      <c r="C96" s="78">
        <f>83543+41100+1904.1+3500</f>
        <v>130047.1</v>
      </c>
      <c r="D96" s="77">
        <f>550.6+16+384.3+525.5+369.8+2.6+13.2+66.6+29.8+815.4+66.6+46.7+1198.1+490.3+154+72.1+121.6+525.1+495.6+452.5+67.7+766.7+27.8+2611.4+110.1+3.8+3.3+441.8+656.5+3.5+157.9+215.4+10546.5+1149.5+25.1</f>
        <v>23183.399999999994</v>
      </c>
      <c r="E96" s="74">
        <f>D96/D155*100</f>
        <v>3.9411645606288475</v>
      </c>
      <c r="F96" s="76">
        <f t="shared" si="10"/>
        <v>68.08994308069146</v>
      </c>
      <c r="G96" s="73">
        <f>D96/C96*100</f>
        <v>17.826925783043215</v>
      </c>
      <c r="H96" s="77">
        <f t="shared" si="11"/>
        <v>10864.80000000001</v>
      </c>
      <c r="I96" s="79">
        <f>C96-D96</f>
        <v>106863.70000000001</v>
      </c>
      <c r="J96" s="142"/>
    </row>
    <row r="97" spans="1:9" s="142" customFormat="1" ht="18.75" thickBot="1">
      <c r="A97" s="115" t="s">
        <v>81</v>
      </c>
      <c r="B97" s="116">
        <f>6827.4-1000</f>
        <v>5827.4</v>
      </c>
      <c r="C97" s="117">
        <v>16376.6</v>
      </c>
      <c r="D97" s="118">
        <f>101+2.6+598.7+1.6+2603.8+3.8+0.7+1149.5</f>
        <v>4461.700000000001</v>
      </c>
      <c r="E97" s="119">
        <f>D97/D96*100</f>
        <v>19.24523581528163</v>
      </c>
      <c r="F97" s="120">
        <f t="shared" si="10"/>
        <v>76.5641624051893</v>
      </c>
      <c r="G97" s="121">
        <f>D97/C97*100</f>
        <v>27.244360856343814</v>
      </c>
      <c r="H97" s="122">
        <f t="shared" si="11"/>
        <v>1365.699999999999</v>
      </c>
      <c r="I97" s="111">
        <f>C97-D97</f>
        <v>11914.9</v>
      </c>
    </row>
    <row r="98" spans="1:10" ht="8.25" customHeight="1" thickBot="1">
      <c r="A98" s="15"/>
      <c r="B98" s="39"/>
      <c r="C98" s="47"/>
      <c r="D98" s="48"/>
      <c r="E98" s="6"/>
      <c r="F98" s="6"/>
      <c r="G98" s="6"/>
      <c r="H98" s="48"/>
      <c r="I98" s="48"/>
      <c r="J98" s="142"/>
    </row>
    <row r="99" spans="1:10" ht="19.5" hidden="1" thickBot="1">
      <c r="A99" s="23" t="s">
        <v>35</v>
      </c>
      <c r="B99" s="55"/>
      <c r="C99" s="56"/>
      <c r="D99" s="57"/>
      <c r="E99" s="3">
        <f>D99/D155*100</f>
        <v>0</v>
      </c>
      <c r="F99" s="3"/>
      <c r="G99" s="3" t="e">
        <f>D99/C99*100</f>
        <v>#DIV/0!</v>
      </c>
      <c r="H99" s="36"/>
      <c r="I99" s="36">
        <f>C99-D99</f>
        <v>0</v>
      </c>
      <c r="J99" s="142"/>
    </row>
    <row r="100" spans="1:10" ht="5.25" customHeight="1" hidden="1" thickBot="1">
      <c r="A100" s="22"/>
      <c r="B100" s="52"/>
      <c r="C100" s="53"/>
      <c r="D100" s="54"/>
      <c r="E100" s="12"/>
      <c r="F100" s="6"/>
      <c r="G100" s="6"/>
      <c r="H100" s="48"/>
      <c r="I100" s="144"/>
      <c r="J100" s="142"/>
    </row>
    <row r="101" spans="1:10" s="13" customFormat="1" ht="36" customHeight="1" hidden="1" thickBot="1">
      <c r="A101" s="11" t="s">
        <v>49</v>
      </c>
      <c r="B101" s="41"/>
      <c r="C101" s="35"/>
      <c r="D101" s="36"/>
      <c r="E101" s="3">
        <f>D101/D155*100</f>
        <v>0</v>
      </c>
      <c r="F101" s="3" t="e">
        <f>D101/B101*100</f>
        <v>#DIV/0!</v>
      </c>
      <c r="G101" s="3" t="e">
        <f>D101/C101*100</f>
        <v>#DIV/0!</v>
      </c>
      <c r="H101" s="36">
        <f>B101-D101</f>
        <v>0</v>
      </c>
      <c r="I101" s="36">
        <f>C101-D101</f>
        <v>0</v>
      </c>
      <c r="J101" s="140"/>
    </row>
    <row r="102" spans="1:10" ht="6.75" customHeight="1" hidden="1" thickBot="1">
      <c r="A102" s="145"/>
      <c r="B102" s="146"/>
      <c r="C102" s="53"/>
      <c r="D102" s="54"/>
      <c r="E102" s="12"/>
      <c r="F102" s="6"/>
      <c r="G102" s="6"/>
      <c r="H102" s="48"/>
      <c r="I102" s="144"/>
      <c r="J102" s="142"/>
    </row>
    <row r="103" spans="1:10" s="29" customFormat="1" ht="19.5" thickBot="1">
      <c r="A103" s="11" t="s">
        <v>9</v>
      </c>
      <c r="B103" s="82">
        <f>22511.2+15.1-20</f>
        <v>22506.3</v>
      </c>
      <c r="C103" s="65">
        <f>73778+7.6+15.1-60.1</f>
        <v>73740.6</v>
      </c>
      <c r="D103" s="61">
        <f>152.2+12.4+164.7+14+1585.4+13.1+10.2+18+148.6+2141.8+73.9+131.3+1879.3+351.3+97.1+16.6+48.3+0.1+592.9+250.5+1840.9+85.4+148.3-0.2+534.2+1861+58.9+713.5+44.9+41.8+28.7+0.2+244.7+2133+95.9+222.1</f>
        <v>15755</v>
      </c>
      <c r="E103" s="16">
        <f>D103/D155*100</f>
        <v>2.678340866857644</v>
      </c>
      <c r="F103" s="16">
        <f>D103/B103*100</f>
        <v>70.00262148820553</v>
      </c>
      <c r="G103" s="16">
        <f aca="true" t="shared" si="12" ref="G103:G153">D103/C103*100</f>
        <v>21.36543505206087</v>
      </c>
      <c r="H103" s="61">
        <f aca="true" t="shared" si="13" ref="H103:H153">B103-D103</f>
        <v>6751.299999999999</v>
      </c>
      <c r="I103" s="61">
        <f aca="true" t="shared" si="14" ref="I103:I153">C103-D103</f>
        <v>57985.600000000006</v>
      </c>
      <c r="J103" s="84"/>
    </row>
    <row r="104" spans="1:9" s="142" customFormat="1" ht="18.75" customHeight="1">
      <c r="A104" s="90" t="s">
        <v>3</v>
      </c>
      <c r="B104" s="104">
        <v>108.7</v>
      </c>
      <c r="C104" s="105">
        <v>543.6</v>
      </c>
      <c r="D104" s="105"/>
      <c r="E104" s="106">
        <f>D104/D103*100</f>
        <v>0</v>
      </c>
      <c r="F104" s="94">
        <f>D104/B104*100</f>
        <v>0</v>
      </c>
      <c r="G104" s="106">
        <f>D104/C104*100</f>
        <v>0</v>
      </c>
      <c r="H104" s="105">
        <f t="shared" si="13"/>
        <v>108.7</v>
      </c>
      <c r="I104" s="105">
        <f t="shared" si="14"/>
        <v>543.6</v>
      </c>
    </row>
    <row r="105" spans="1:9" s="142" customFormat="1" ht="18">
      <c r="A105" s="107" t="s">
        <v>46</v>
      </c>
      <c r="B105" s="91">
        <f>20095.2+15.1-20</f>
        <v>20090.3</v>
      </c>
      <c r="C105" s="92">
        <f>65554.9+7.6+15.1-60.1</f>
        <v>65517.50000000001</v>
      </c>
      <c r="D105" s="92">
        <f>152.1+12.4+164.7+14+1585.4+8+18+148.5+2111.8+73.9+131.3+1879.3+114.9+217.3+66.2+14+0.1+582.9+250.5+1833.3+55+120.2+529.4+1861+47.8+713.5+1.8+35.2+244.7+2133+95.9+222</f>
        <v>15438.1</v>
      </c>
      <c r="E105" s="94">
        <f>D105/D103*100</f>
        <v>97.98857505553794</v>
      </c>
      <c r="F105" s="94">
        <f aca="true" t="shared" si="15" ref="F105:F153">D105/B105*100</f>
        <v>76.84355136558439</v>
      </c>
      <c r="G105" s="94">
        <f t="shared" si="12"/>
        <v>23.56332277635746</v>
      </c>
      <c r="H105" s="92">
        <f t="shared" si="13"/>
        <v>4652.199999999999</v>
      </c>
      <c r="I105" s="92">
        <f t="shared" si="14"/>
        <v>50079.40000000001</v>
      </c>
    </row>
    <row r="106" spans="1:9" s="142" customFormat="1" ht="54.75" hidden="1" thickBot="1">
      <c r="A106" s="108" t="s">
        <v>77</v>
      </c>
      <c r="B106" s="109"/>
      <c r="C106" s="109"/>
      <c r="D106" s="109"/>
      <c r="E106" s="110">
        <f>D106/D103*100</f>
        <v>0</v>
      </c>
      <c r="F106" s="110" t="e">
        <f>D106/B106*100</f>
        <v>#DIV/0!</v>
      </c>
      <c r="G106" s="110" t="e">
        <f>D106/C106*100</f>
        <v>#DIV/0!</v>
      </c>
      <c r="H106" s="111">
        <f t="shared" si="13"/>
        <v>0</v>
      </c>
      <c r="I106" s="111">
        <f>C106-D106</f>
        <v>0</v>
      </c>
    </row>
    <row r="107" spans="1:9" s="142" customFormat="1" ht="18.75" thickBot="1">
      <c r="A107" s="108" t="s">
        <v>25</v>
      </c>
      <c r="B107" s="109">
        <f>B103-B104-B105</f>
        <v>2307.2999999999993</v>
      </c>
      <c r="C107" s="109">
        <f>C103-C104-C105</f>
        <v>7679.499999999993</v>
      </c>
      <c r="D107" s="109">
        <f>D103-D104-D105</f>
        <v>316.89999999999964</v>
      </c>
      <c r="E107" s="110">
        <f>D107/D103*100</f>
        <v>2.0114249444620733</v>
      </c>
      <c r="F107" s="110">
        <f t="shared" si="15"/>
        <v>13.734668226931902</v>
      </c>
      <c r="G107" s="110">
        <f t="shared" si="12"/>
        <v>4.1265707402825695</v>
      </c>
      <c r="H107" s="111">
        <f t="shared" si="13"/>
        <v>1990.3999999999996</v>
      </c>
      <c r="I107" s="111">
        <f t="shared" si="14"/>
        <v>7362.599999999993</v>
      </c>
    </row>
    <row r="108" spans="1:10" s="2" customFormat="1" ht="26.25" customHeight="1" thickBot="1">
      <c r="A108" s="62" t="s">
        <v>26</v>
      </c>
      <c r="B108" s="63">
        <f>SUM(B109:B152)-B116-B121+B153-B143-B144-B110-B113-B124-B125-B141-B134-B132-B139-B119</f>
        <v>163592.7</v>
      </c>
      <c r="C108" s="63">
        <f>SUM(C109:C152)-C116-C121+C153-C143-C144-C110-C113-C124-C125-C141-C134-C132-C139-C119</f>
        <v>642415.59</v>
      </c>
      <c r="D108" s="63">
        <f>SUM(D109:D152)-D116-D121+D153-D143-D144-D110-D113-D124-D125-D141-D134-D132-D139-D119</f>
        <v>135626.89999999997</v>
      </c>
      <c r="E108" s="64">
        <f>D108/D155*100</f>
        <v>23.056494377354163</v>
      </c>
      <c r="F108" s="64">
        <f>D108/B108*100</f>
        <v>82.90522743374244</v>
      </c>
      <c r="G108" s="64">
        <f t="shared" si="12"/>
        <v>21.112018778996315</v>
      </c>
      <c r="H108" s="63">
        <f t="shared" si="13"/>
        <v>27965.800000000047</v>
      </c>
      <c r="I108" s="63">
        <f t="shared" si="14"/>
        <v>506788.69</v>
      </c>
      <c r="J108" s="100"/>
    </row>
    <row r="109" spans="1:9" s="142" customFormat="1" ht="37.5">
      <c r="A109" s="85" t="s">
        <v>50</v>
      </c>
      <c r="B109" s="150">
        <v>1816.7</v>
      </c>
      <c r="C109" s="135">
        <v>4983.7</v>
      </c>
      <c r="D109" s="86">
        <f>1.8+140.5+138.5+0.9+33+80.9+13.3+0.1+53.3+109+1.4+124.9+19.8+24.9+9+3.6+91.3+61.8+18.7+59</f>
        <v>985.6999999999999</v>
      </c>
      <c r="E109" s="87">
        <f>D109/D108*100</f>
        <v>0.7267732286146776</v>
      </c>
      <c r="F109" s="87">
        <f t="shared" si="15"/>
        <v>54.25772004183409</v>
      </c>
      <c r="G109" s="87">
        <f t="shared" si="12"/>
        <v>19.77847783775107</v>
      </c>
      <c r="H109" s="88">
        <f t="shared" si="13"/>
        <v>831.0000000000001</v>
      </c>
      <c r="I109" s="88">
        <f t="shared" si="14"/>
        <v>3998</v>
      </c>
    </row>
    <row r="110" spans="1:9" s="142" customFormat="1" ht="18">
      <c r="A110" s="90" t="s">
        <v>23</v>
      </c>
      <c r="B110" s="91">
        <v>965.2</v>
      </c>
      <c r="C110" s="92">
        <v>2332.2</v>
      </c>
      <c r="D110" s="93">
        <f>2.4+138.5+0.9+33.1+80.9+53.3+1.8+1.1+124.9+24.9+6.2+38.5+59</f>
        <v>565.5</v>
      </c>
      <c r="E110" s="94">
        <f>D110/D109*100</f>
        <v>57.370396672415545</v>
      </c>
      <c r="F110" s="94">
        <f t="shared" si="15"/>
        <v>58.58889349357646</v>
      </c>
      <c r="G110" s="94">
        <f t="shared" si="12"/>
        <v>24.24749163879599</v>
      </c>
      <c r="H110" s="92">
        <f t="shared" si="13"/>
        <v>399.70000000000005</v>
      </c>
      <c r="I110" s="92">
        <f t="shared" si="14"/>
        <v>1766.6999999999998</v>
      </c>
    </row>
    <row r="111" spans="1:9" s="142" customFormat="1" ht="34.5" customHeight="1" hidden="1">
      <c r="A111" s="95" t="s">
        <v>76</v>
      </c>
      <c r="B111" s="137"/>
      <c r="C111" s="88"/>
      <c r="D111" s="86"/>
      <c r="E111" s="87">
        <f>D111/D108*100</f>
        <v>0</v>
      </c>
      <c r="F111" s="87" t="e">
        <f>D111/B111*100</f>
        <v>#DIV/0!</v>
      </c>
      <c r="G111" s="87" t="e">
        <f t="shared" si="12"/>
        <v>#DIV/0!</v>
      </c>
      <c r="H111" s="88">
        <f t="shared" si="13"/>
        <v>0</v>
      </c>
      <c r="I111" s="88">
        <f t="shared" si="14"/>
        <v>0</v>
      </c>
    </row>
    <row r="112" spans="1:9" s="84" customFormat="1" ht="34.5" customHeight="1">
      <c r="A112" s="95" t="s">
        <v>91</v>
      </c>
      <c r="B112" s="138">
        <v>100</v>
      </c>
      <c r="C112" s="96">
        <v>300</v>
      </c>
      <c r="D112" s="97"/>
      <c r="E112" s="87">
        <f>D112/D108*100</f>
        <v>0</v>
      </c>
      <c r="F112" s="87">
        <f t="shared" si="15"/>
        <v>0</v>
      </c>
      <c r="G112" s="87">
        <f t="shared" si="12"/>
        <v>0</v>
      </c>
      <c r="H112" s="88">
        <f t="shared" si="13"/>
        <v>100</v>
      </c>
      <c r="I112" s="88">
        <f t="shared" si="14"/>
        <v>300</v>
      </c>
    </row>
    <row r="113" spans="1:9" s="142" customFormat="1" ht="18.75" customHeight="1" hidden="1">
      <c r="A113" s="90" t="s">
        <v>23</v>
      </c>
      <c r="B113" s="136"/>
      <c r="C113" s="92"/>
      <c r="D113" s="93"/>
      <c r="E113" s="94"/>
      <c r="F113" s="94" t="e">
        <f t="shared" si="15"/>
        <v>#DIV/0!</v>
      </c>
      <c r="G113" s="94" t="e">
        <f t="shared" si="12"/>
        <v>#DIV/0!</v>
      </c>
      <c r="H113" s="92">
        <f t="shared" si="13"/>
        <v>0</v>
      </c>
      <c r="I113" s="92">
        <f t="shared" si="14"/>
        <v>0</v>
      </c>
    </row>
    <row r="114" spans="1:9" s="142" customFormat="1" ht="18.75" customHeight="1" hidden="1">
      <c r="A114" s="95" t="s">
        <v>87</v>
      </c>
      <c r="B114" s="138"/>
      <c r="C114" s="88"/>
      <c r="D114" s="86"/>
      <c r="E114" s="87">
        <f>D114/D108*100</f>
        <v>0</v>
      </c>
      <c r="F114" s="87" t="e">
        <f t="shared" si="15"/>
        <v>#DIV/0!</v>
      </c>
      <c r="G114" s="87" t="e">
        <f t="shared" si="12"/>
        <v>#DIV/0!</v>
      </c>
      <c r="H114" s="88">
        <f t="shared" si="13"/>
        <v>0</v>
      </c>
      <c r="I114" s="88">
        <f t="shared" si="14"/>
        <v>0</v>
      </c>
    </row>
    <row r="115" spans="1:9" s="142" customFormat="1" ht="37.5">
      <c r="A115" s="95" t="s">
        <v>36</v>
      </c>
      <c r="B115" s="138">
        <v>2055.9</v>
      </c>
      <c r="C115" s="88">
        <v>5785.2</v>
      </c>
      <c r="D115" s="86">
        <f>187.7+10.4+531.5+38.4+44.9+0.1+53.3+13.7+14.6+4.3+409.7+22.6+33.2</f>
        <v>1364.3999999999999</v>
      </c>
      <c r="E115" s="87">
        <f>D115/D108*100</f>
        <v>1.00599512338629</v>
      </c>
      <c r="F115" s="87">
        <f t="shared" si="15"/>
        <v>66.36509557857872</v>
      </c>
      <c r="G115" s="87">
        <f t="shared" si="12"/>
        <v>23.584318606098318</v>
      </c>
      <c r="H115" s="88">
        <f t="shared" si="13"/>
        <v>691.5000000000002</v>
      </c>
      <c r="I115" s="88">
        <f t="shared" si="14"/>
        <v>4420.8</v>
      </c>
    </row>
    <row r="116" spans="1:9" s="142" customFormat="1" ht="18" hidden="1">
      <c r="A116" s="98" t="s">
        <v>41</v>
      </c>
      <c r="B116" s="91"/>
      <c r="C116" s="92"/>
      <c r="D116" s="93"/>
      <c r="E116" s="87"/>
      <c r="F116" s="87" t="e">
        <f t="shared" si="15"/>
        <v>#DIV/0!</v>
      </c>
      <c r="G116" s="94" t="e">
        <f t="shared" si="12"/>
        <v>#DIV/0!</v>
      </c>
      <c r="H116" s="92">
        <f t="shared" si="13"/>
        <v>0</v>
      </c>
      <c r="I116" s="92">
        <f t="shared" si="14"/>
        <v>0</v>
      </c>
    </row>
    <row r="117" spans="1:9" s="84" customFormat="1" ht="18.75" customHeight="1" hidden="1">
      <c r="A117" s="95" t="s">
        <v>88</v>
      </c>
      <c r="B117" s="138"/>
      <c r="C117" s="96"/>
      <c r="D117" s="97"/>
      <c r="E117" s="99">
        <f>D117/D108*100</f>
        <v>0</v>
      </c>
      <c r="F117" s="87" t="e">
        <f t="shared" si="15"/>
        <v>#DIV/0!</v>
      </c>
      <c r="G117" s="99" t="e">
        <f t="shared" si="12"/>
        <v>#DIV/0!</v>
      </c>
      <c r="H117" s="96">
        <f t="shared" si="13"/>
        <v>0</v>
      </c>
      <c r="I117" s="96">
        <f t="shared" si="14"/>
        <v>0</v>
      </c>
    </row>
    <row r="118" spans="1:9" s="142" customFormat="1" ht="37.5" hidden="1">
      <c r="A118" s="95" t="s">
        <v>45</v>
      </c>
      <c r="B118" s="138"/>
      <c r="C118" s="88"/>
      <c r="D118" s="86"/>
      <c r="E118" s="87">
        <f>D118/D108*100</f>
        <v>0</v>
      </c>
      <c r="F118" s="87" t="e">
        <f>D118/B118*100</f>
        <v>#DIV/0!</v>
      </c>
      <c r="G118" s="87" t="e">
        <f t="shared" si="12"/>
        <v>#DIV/0!</v>
      </c>
      <c r="H118" s="88">
        <f t="shared" si="13"/>
        <v>0</v>
      </c>
      <c r="I118" s="88">
        <f t="shared" si="14"/>
        <v>0</v>
      </c>
    </row>
    <row r="119" spans="1:9" s="142" customFormat="1" ht="18" hidden="1">
      <c r="A119" s="98" t="s">
        <v>86</v>
      </c>
      <c r="B119" s="91"/>
      <c r="C119" s="92"/>
      <c r="D119" s="93"/>
      <c r="E119" s="94" t="e">
        <f>D119/D118*100</f>
        <v>#DIV/0!</v>
      </c>
      <c r="F119" s="94" t="e">
        <f>D119/B119*100</f>
        <v>#DIV/0!</v>
      </c>
      <c r="G119" s="94" t="e">
        <f>D119/C119*100</f>
        <v>#DIV/0!</v>
      </c>
      <c r="H119" s="92">
        <f>B119-D119</f>
        <v>0</v>
      </c>
      <c r="I119" s="92">
        <f>C119-D119</f>
        <v>0</v>
      </c>
    </row>
    <row r="120" spans="1:9" s="100" customFormat="1" ht="18.75">
      <c r="A120" s="95" t="s">
        <v>13</v>
      </c>
      <c r="B120" s="138">
        <v>405.7</v>
      </c>
      <c r="C120" s="96">
        <v>1024.8</v>
      </c>
      <c r="D120" s="86">
        <f>80.5+0.2+38.8+80.5+0.8+10+10.3+80.5+16.8</f>
        <v>318.40000000000003</v>
      </c>
      <c r="E120" s="87">
        <f>D120/D108*100</f>
        <v>0.2347616881311894</v>
      </c>
      <c r="F120" s="87">
        <f t="shared" si="15"/>
        <v>78.4816366773478</v>
      </c>
      <c r="G120" s="87">
        <f t="shared" si="12"/>
        <v>31.069476971116323</v>
      </c>
      <c r="H120" s="88">
        <f t="shared" si="13"/>
        <v>87.29999999999995</v>
      </c>
      <c r="I120" s="88">
        <f t="shared" si="14"/>
        <v>706.3999999999999</v>
      </c>
    </row>
    <row r="121" spans="1:9" s="101" customFormat="1" ht="18">
      <c r="A121" s="98" t="s">
        <v>41</v>
      </c>
      <c r="B121" s="91">
        <v>322.1</v>
      </c>
      <c r="C121" s="92">
        <v>724.7</v>
      </c>
      <c r="D121" s="93">
        <f>80.5+80.5+80.5</f>
        <v>241.5</v>
      </c>
      <c r="E121" s="94">
        <f>D121/D120*100</f>
        <v>75.84798994974874</v>
      </c>
      <c r="F121" s="94">
        <f t="shared" si="15"/>
        <v>74.97671530580564</v>
      </c>
      <c r="G121" s="94">
        <f t="shared" si="12"/>
        <v>33.324134124465296</v>
      </c>
      <c r="H121" s="92">
        <f t="shared" si="13"/>
        <v>80.60000000000002</v>
      </c>
      <c r="I121" s="92">
        <f t="shared" si="14"/>
        <v>483.20000000000005</v>
      </c>
    </row>
    <row r="122" spans="1:9" s="100" customFormat="1" ht="18.75">
      <c r="A122" s="95" t="s">
        <v>102</v>
      </c>
      <c r="B122" s="138">
        <v>80</v>
      </c>
      <c r="C122" s="96">
        <v>347</v>
      </c>
      <c r="D122" s="86">
        <f>34.5+13.8</f>
        <v>48.3</v>
      </c>
      <c r="E122" s="87">
        <f>D122/D108*100</f>
        <v>0.035612404323921</v>
      </c>
      <c r="F122" s="87">
        <f t="shared" si="15"/>
        <v>60.375</v>
      </c>
      <c r="G122" s="87">
        <f t="shared" si="12"/>
        <v>13.919308357348703</v>
      </c>
      <c r="H122" s="88">
        <f t="shared" si="13"/>
        <v>31.700000000000003</v>
      </c>
      <c r="I122" s="88">
        <f t="shared" si="14"/>
        <v>298.7</v>
      </c>
    </row>
    <row r="123" spans="1:9" s="100" customFormat="1" ht="21.75" customHeight="1">
      <c r="A123" s="95" t="s">
        <v>92</v>
      </c>
      <c r="B123" s="138">
        <v>0</v>
      </c>
      <c r="C123" s="96">
        <f>86+920</f>
        <v>1006</v>
      </c>
      <c r="D123" s="97"/>
      <c r="E123" s="99">
        <f>D123/D108*100</f>
        <v>0</v>
      </c>
      <c r="F123" s="87" t="e">
        <f t="shared" si="15"/>
        <v>#DIV/0!</v>
      </c>
      <c r="G123" s="87">
        <f t="shared" si="12"/>
        <v>0</v>
      </c>
      <c r="H123" s="88">
        <f t="shared" si="13"/>
        <v>0</v>
      </c>
      <c r="I123" s="88">
        <f t="shared" si="14"/>
        <v>1006</v>
      </c>
    </row>
    <row r="124" spans="1:9" s="102" customFormat="1" ht="18" hidden="1">
      <c r="A124" s="90" t="s">
        <v>78</v>
      </c>
      <c r="B124" s="91"/>
      <c r="C124" s="92"/>
      <c r="D124" s="93"/>
      <c r="E124" s="87"/>
      <c r="F124" s="94" t="e">
        <f>D124/B124*100</f>
        <v>#DIV/0!</v>
      </c>
      <c r="G124" s="94" t="e">
        <f t="shared" si="12"/>
        <v>#DIV/0!</v>
      </c>
      <c r="H124" s="92">
        <f t="shared" si="13"/>
        <v>0</v>
      </c>
      <c r="I124" s="92">
        <f t="shared" si="14"/>
        <v>0</v>
      </c>
    </row>
    <row r="125" spans="1:9" s="102" customFormat="1" ht="18" hidden="1">
      <c r="A125" s="90" t="s">
        <v>47</v>
      </c>
      <c r="B125" s="91"/>
      <c r="C125" s="92"/>
      <c r="D125" s="93"/>
      <c r="E125" s="87"/>
      <c r="F125" s="94" t="e">
        <f>D125/B125*100</f>
        <v>#DIV/0!</v>
      </c>
      <c r="G125" s="94" t="e">
        <f t="shared" si="12"/>
        <v>#DIV/0!</v>
      </c>
      <c r="H125" s="92">
        <f t="shared" si="13"/>
        <v>0</v>
      </c>
      <c r="I125" s="92">
        <f t="shared" si="14"/>
        <v>0</v>
      </c>
    </row>
    <row r="126" spans="1:9" s="100" customFormat="1" ht="37.5">
      <c r="A126" s="95" t="s">
        <v>93</v>
      </c>
      <c r="B126" s="138">
        <v>8106.2</v>
      </c>
      <c r="C126" s="96">
        <f>6156.2+17413.4</f>
        <v>23569.600000000002</v>
      </c>
      <c r="D126" s="97">
        <f>871.9+408.1+585.9+900.5+901.8+879.7+893+994.8</f>
        <v>6435.7</v>
      </c>
      <c r="E126" s="99">
        <f>D126/D108*100</f>
        <v>4.745150114026053</v>
      </c>
      <c r="F126" s="87">
        <f t="shared" si="15"/>
        <v>79.3923169919321</v>
      </c>
      <c r="G126" s="87">
        <f t="shared" si="12"/>
        <v>27.305087909849973</v>
      </c>
      <c r="H126" s="88">
        <f t="shared" si="13"/>
        <v>1670.5</v>
      </c>
      <c r="I126" s="88">
        <f t="shared" si="14"/>
        <v>17133.9</v>
      </c>
    </row>
    <row r="127" spans="1:9" s="100" customFormat="1" ht="18.75" hidden="1">
      <c r="A127" s="95" t="s">
        <v>89</v>
      </c>
      <c r="B127" s="138"/>
      <c r="C127" s="96"/>
      <c r="D127" s="97"/>
      <c r="E127" s="99">
        <f>D127/D108*100</f>
        <v>0</v>
      </c>
      <c r="F127" s="87" t="e">
        <f t="shared" si="15"/>
        <v>#DIV/0!</v>
      </c>
      <c r="G127" s="87" t="e">
        <f t="shared" si="12"/>
        <v>#DIV/0!</v>
      </c>
      <c r="H127" s="88">
        <f t="shared" si="13"/>
        <v>0</v>
      </c>
      <c r="I127" s="88">
        <f t="shared" si="14"/>
        <v>0</v>
      </c>
    </row>
    <row r="128" spans="1:13" s="100" customFormat="1" ht="37.5">
      <c r="A128" s="95" t="s">
        <v>98</v>
      </c>
      <c r="B128" s="138">
        <v>279</v>
      </c>
      <c r="C128" s="96">
        <v>483</v>
      </c>
      <c r="D128" s="97">
        <v>2.2</v>
      </c>
      <c r="E128" s="99">
        <f>D128/D108*100</f>
        <v>0.0016220970913587206</v>
      </c>
      <c r="F128" s="87">
        <f t="shared" si="15"/>
        <v>0.7885304659498209</v>
      </c>
      <c r="G128" s="87">
        <f t="shared" si="12"/>
        <v>0.45548654244306425</v>
      </c>
      <c r="H128" s="88">
        <f t="shared" si="13"/>
        <v>276.8</v>
      </c>
      <c r="I128" s="88">
        <f t="shared" si="14"/>
        <v>480.8</v>
      </c>
      <c r="M128" s="89"/>
    </row>
    <row r="129" spans="1:13" s="100" customFormat="1" ht="37.5">
      <c r="A129" s="95" t="s">
        <v>83</v>
      </c>
      <c r="B129" s="138">
        <v>115.7</v>
      </c>
      <c r="C129" s="96">
        <v>154.3</v>
      </c>
      <c r="D129" s="97"/>
      <c r="E129" s="99">
        <f>D129/D108*100</f>
        <v>0</v>
      </c>
      <c r="F129" s="87">
        <f t="shared" si="15"/>
        <v>0</v>
      </c>
      <c r="G129" s="87">
        <f t="shared" si="12"/>
        <v>0</v>
      </c>
      <c r="H129" s="88">
        <f t="shared" si="13"/>
        <v>115.7</v>
      </c>
      <c r="I129" s="88">
        <f t="shared" si="14"/>
        <v>154.3</v>
      </c>
      <c r="M129" s="89"/>
    </row>
    <row r="130" spans="1:9" s="100" customFormat="1" ht="18.75" hidden="1">
      <c r="A130" s="98" t="s">
        <v>81</v>
      </c>
      <c r="B130" s="138"/>
      <c r="C130" s="96"/>
      <c r="D130" s="97"/>
      <c r="E130" s="99">
        <f>D130/D109*100</f>
        <v>0</v>
      </c>
      <c r="F130" s="87" t="e">
        <f t="shared" si="15"/>
        <v>#DIV/0!</v>
      </c>
      <c r="G130" s="87" t="e">
        <f t="shared" si="12"/>
        <v>#DIV/0!</v>
      </c>
      <c r="H130" s="88">
        <f t="shared" si="13"/>
        <v>0</v>
      </c>
      <c r="I130" s="88">
        <f t="shared" si="14"/>
        <v>0</v>
      </c>
    </row>
    <row r="131" spans="1:13" s="100" customFormat="1" ht="37.5">
      <c r="A131" s="95" t="s">
        <v>55</v>
      </c>
      <c r="B131" s="138">
        <v>263.3</v>
      </c>
      <c r="C131" s="96">
        <v>1003.9</v>
      </c>
      <c r="D131" s="97">
        <f>7.7+12.9+2.8+0.3+0.9+48+9.2+16+18.7+7+7.7+1.3</f>
        <v>132.5</v>
      </c>
      <c r="E131" s="99">
        <f>D131/D108*100</f>
        <v>0.0976944839113775</v>
      </c>
      <c r="F131" s="87">
        <f t="shared" si="15"/>
        <v>50.32282567413596</v>
      </c>
      <c r="G131" s="87">
        <f t="shared" si="12"/>
        <v>13.19852574957665</v>
      </c>
      <c r="H131" s="88">
        <f t="shared" si="13"/>
        <v>130.8</v>
      </c>
      <c r="I131" s="88">
        <f t="shared" si="14"/>
        <v>871.4</v>
      </c>
      <c r="M131" s="89"/>
    </row>
    <row r="132" spans="1:13" s="101" customFormat="1" ht="18">
      <c r="A132" s="90" t="s">
        <v>86</v>
      </c>
      <c r="B132" s="91">
        <v>90.4</v>
      </c>
      <c r="C132" s="92">
        <v>553.3</v>
      </c>
      <c r="D132" s="93">
        <f>7.7+48+7.7+7.7</f>
        <v>71.10000000000001</v>
      </c>
      <c r="E132" s="94">
        <f>D132/D131*100</f>
        <v>53.66037735849057</v>
      </c>
      <c r="F132" s="94">
        <f>D132/B132*100</f>
        <v>78.65044247787611</v>
      </c>
      <c r="G132" s="94">
        <f t="shared" si="12"/>
        <v>12.850171697090188</v>
      </c>
      <c r="H132" s="92">
        <f t="shared" si="13"/>
        <v>19.299999999999997</v>
      </c>
      <c r="I132" s="92">
        <f t="shared" si="14"/>
        <v>482.19999999999993</v>
      </c>
      <c r="M132" s="132"/>
    </row>
    <row r="133" spans="1:9" s="100" customFormat="1" ht="37.5">
      <c r="A133" s="95" t="s">
        <v>101</v>
      </c>
      <c r="B133" s="138">
        <v>0</v>
      </c>
      <c r="C133" s="96">
        <v>250</v>
      </c>
      <c r="D133" s="97"/>
      <c r="E133" s="99">
        <f>D133/D108*100</f>
        <v>0</v>
      </c>
      <c r="F133" s="87" t="e">
        <f t="shared" si="15"/>
        <v>#DIV/0!</v>
      </c>
      <c r="G133" s="87">
        <f t="shared" si="12"/>
        <v>0</v>
      </c>
      <c r="H133" s="88">
        <f t="shared" si="13"/>
        <v>0</v>
      </c>
      <c r="I133" s="88">
        <f t="shared" si="14"/>
        <v>250</v>
      </c>
    </row>
    <row r="134" spans="1:9" s="101" customFormat="1" ht="18" hidden="1">
      <c r="A134" s="98" t="s">
        <v>41</v>
      </c>
      <c r="B134" s="91"/>
      <c r="C134" s="92"/>
      <c r="D134" s="93"/>
      <c r="E134" s="94"/>
      <c r="F134" s="94" t="e">
        <f>D134/B134*100</f>
        <v>#DIV/0!</v>
      </c>
      <c r="G134" s="94" t="e">
        <f t="shared" si="12"/>
        <v>#DIV/0!</v>
      </c>
      <c r="H134" s="92">
        <f t="shared" si="13"/>
        <v>0</v>
      </c>
      <c r="I134" s="92">
        <f t="shared" si="14"/>
        <v>0</v>
      </c>
    </row>
    <row r="135" spans="1:9" s="100" customFormat="1" ht="35.25" customHeight="1" hidden="1">
      <c r="A135" s="95" t="s">
        <v>100</v>
      </c>
      <c r="B135" s="138"/>
      <c r="C135" s="96"/>
      <c r="D135" s="97"/>
      <c r="E135" s="99">
        <f>D135/D108*100</f>
        <v>0</v>
      </c>
      <c r="F135" s="87" t="e">
        <f t="shared" si="15"/>
        <v>#DIV/0!</v>
      </c>
      <c r="G135" s="87" t="e">
        <f t="shared" si="12"/>
        <v>#DIV/0!</v>
      </c>
      <c r="H135" s="88">
        <f t="shared" si="13"/>
        <v>0</v>
      </c>
      <c r="I135" s="88">
        <f>C135-D135</f>
        <v>0</v>
      </c>
    </row>
    <row r="136" spans="1:9" s="100" customFormat="1" ht="21.75" customHeight="1" hidden="1">
      <c r="A136" s="95" t="s">
        <v>99</v>
      </c>
      <c r="B136" s="138"/>
      <c r="C136" s="96"/>
      <c r="D136" s="97"/>
      <c r="E136" s="99">
        <f>D136/D108*100</f>
        <v>0</v>
      </c>
      <c r="F136" s="87" t="e">
        <f t="shared" si="15"/>
        <v>#DIV/0!</v>
      </c>
      <c r="G136" s="87" t="e">
        <f t="shared" si="12"/>
        <v>#DIV/0!</v>
      </c>
      <c r="H136" s="88">
        <f t="shared" si="13"/>
        <v>0</v>
      </c>
      <c r="I136" s="88">
        <f t="shared" si="14"/>
        <v>0</v>
      </c>
    </row>
    <row r="137" spans="1:9" s="100" customFormat="1" ht="35.25" customHeight="1">
      <c r="A137" s="95" t="s">
        <v>85</v>
      </c>
      <c r="B137" s="138">
        <v>988.4</v>
      </c>
      <c r="C137" s="96">
        <v>2964.5</v>
      </c>
      <c r="D137" s="97"/>
      <c r="E137" s="99">
        <f>D137/D108*100</f>
        <v>0</v>
      </c>
      <c r="F137" s="87">
        <f t="shared" si="15"/>
        <v>0</v>
      </c>
      <c r="G137" s="87">
        <f t="shared" si="12"/>
        <v>0</v>
      </c>
      <c r="H137" s="88">
        <f t="shared" si="13"/>
        <v>988.4</v>
      </c>
      <c r="I137" s="88">
        <f t="shared" si="14"/>
        <v>2964.5</v>
      </c>
    </row>
    <row r="138" spans="1:9" s="100" customFormat="1" ht="39" customHeight="1">
      <c r="A138" s="95" t="s">
        <v>52</v>
      </c>
      <c r="B138" s="138">
        <v>70</v>
      </c>
      <c r="C138" s="96">
        <v>350</v>
      </c>
      <c r="D138" s="97"/>
      <c r="E138" s="99">
        <f>D138/D108*100</f>
        <v>0</v>
      </c>
      <c r="F138" s="87">
        <f t="shared" si="15"/>
        <v>0</v>
      </c>
      <c r="G138" s="87">
        <f t="shared" si="12"/>
        <v>0</v>
      </c>
      <c r="H138" s="88">
        <f t="shared" si="13"/>
        <v>70</v>
      </c>
      <c r="I138" s="88">
        <f t="shared" si="14"/>
        <v>350</v>
      </c>
    </row>
    <row r="139" spans="1:9" s="101" customFormat="1" ht="18">
      <c r="A139" s="90" t="s">
        <v>86</v>
      </c>
      <c r="B139" s="91">
        <v>20</v>
      </c>
      <c r="C139" s="92">
        <v>110</v>
      </c>
      <c r="D139" s="93"/>
      <c r="E139" s="94"/>
      <c r="F139" s="87">
        <f>D139/B139*100</f>
        <v>0</v>
      </c>
      <c r="G139" s="94">
        <f>D139/C139*100</f>
        <v>0</v>
      </c>
      <c r="H139" s="92">
        <f>B139-D139</f>
        <v>20</v>
      </c>
      <c r="I139" s="92">
        <f>C139-D139</f>
        <v>110</v>
      </c>
    </row>
    <row r="140" spans="1:9" s="100" customFormat="1" ht="32.25" customHeight="1">
      <c r="A140" s="95" t="s">
        <v>82</v>
      </c>
      <c r="B140" s="138">
        <v>249.9</v>
      </c>
      <c r="C140" s="96">
        <v>642.9</v>
      </c>
      <c r="D140" s="97">
        <f>3.4+29.8+0.5+0.6+0.5+7+95</f>
        <v>136.8</v>
      </c>
      <c r="E140" s="99">
        <f>D140/D108*100</f>
        <v>0.10086494640812407</v>
      </c>
      <c r="F140" s="87">
        <f>D140/B140*100</f>
        <v>54.74189675870349</v>
      </c>
      <c r="G140" s="87">
        <f>D140/C140*100</f>
        <v>21.278581427904808</v>
      </c>
      <c r="H140" s="88">
        <f t="shared" si="13"/>
        <v>113.1</v>
      </c>
      <c r="I140" s="88">
        <f t="shared" si="14"/>
        <v>506.09999999999997</v>
      </c>
    </row>
    <row r="141" spans="1:9" s="101" customFormat="1" ht="18">
      <c r="A141" s="90" t="s">
        <v>23</v>
      </c>
      <c r="B141" s="91">
        <v>209.9</v>
      </c>
      <c r="C141" s="92">
        <v>524.9</v>
      </c>
      <c r="D141" s="93">
        <f>0.4+29.8+0.5+0.6+95</f>
        <v>126.3</v>
      </c>
      <c r="E141" s="94">
        <f>D141/D140*100</f>
        <v>92.32456140350877</v>
      </c>
      <c r="F141" s="94">
        <f t="shared" si="15"/>
        <v>60.171510242972836</v>
      </c>
      <c r="G141" s="94">
        <f>D141/C141*100</f>
        <v>24.06172604305582</v>
      </c>
      <c r="H141" s="92">
        <f t="shared" si="13"/>
        <v>83.60000000000001</v>
      </c>
      <c r="I141" s="92">
        <f t="shared" si="14"/>
        <v>398.59999999999997</v>
      </c>
    </row>
    <row r="142" spans="1:9" s="100" customFormat="1" ht="18.75">
      <c r="A142" s="95" t="s">
        <v>94</v>
      </c>
      <c r="B142" s="138">
        <v>719.3</v>
      </c>
      <c r="C142" s="96">
        <v>2262.8</v>
      </c>
      <c r="D142" s="97">
        <f>33.6+100.1+61.4+1.9+88.9+76.4+140.9+13.9</f>
        <v>517.0999999999999</v>
      </c>
      <c r="E142" s="99">
        <f>D142/D108*100</f>
        <v>0.3812665481552701</v>
      </c>
      <c r="F142" s="87">
        <f t="shared" si="15"/>
        <v>71.88933685527596</v>
      </c>
      <c r="G142" s="87">
        <f t="shared" si="12"/>
        <v>22.852218490365914</v>
      </c>
      <c r="H142" s="88">
        <f t="shared" si="13"/>
        <v>202.20000000000005</v>
      </c>
      <c r="I142" s="88">
        <f t="shared" si="14"/>
        <v>1745.7000000000003</v>
      </c>
    </row>
    <row r="143" spans="1:9" s="101" customFormat="1" ht="18">
      <c r="A143" s="98" t="s">
        <v>41</v>
      </c>
      <c r="B143" s="91">
        <v>543.5</v>
      </c>
      <c r="C143" s="92">
        <v>1867.4</v>
      </c>
      <c r="D143" s="93">
        <f>33.6+99.1+51.9+81.4+59+82.2+5.6</f>
        <v>412.8</v>
      </c>
      <c r="E143" s="94">
        <f>D143/D142*100</f>
        <v>79.82982015084124</v>
      </c>
      <c r="F143" s="94">
        <f t="shared" si="15"/>
        <v>75.95216191352347</v>
      </c>
      <c r="G143" s="94">
        <f t="shared" si="12"/>
        <v>22.105601370890007</v>
      </c>
      <c r="H143" s="92">
        <f t="shared" si="13"/>
        <v>130.7</v>
      </c>
      <c r="I143" s="92">
        <f t="shared" si="14"/>
        <v>1454.6000000000001</v>
      </c>
    </row>
    <row r="144" spans="1:9" s="101" customFormat="1" ht="18">
      <c r="A144" s="90" t="s">
        <v>23</v>
      </c>
      <c r="B144" s="91">
        <v>27.3</v>
      </c>
      <c r="C144" s="92">
        <v>48</v>
      </c>
      <c r="D144" s="93">
        <f>9.3+7.4+6</f>
        <v>22.700000000000003</v>
      </c>
      <c r="E144" s="94">
        <f>D144/D142*100</f>
        <v>4.389866563527366</v>
      </c>
      <c r="F144" s="94">
        <f t="shared" si="15"/>
        <v>83.15018315018315</v>
      </c>
      <c r="G144" s="94">
        <f>D144/C144*100</f>
        <v>47.29166666666667</v>
      </c>
      <c r="H144" s="92">
        <f t="shared" si="13"/>
        <v>4.599999999999998</v>
      </c>
      <c r="I144" s="92">
        <f t="shared" si="14"/>
        <v>25.299999999999997</v>
      </c>
    </row>
    <row r="145" spans="1:9" s="100" customFormat="1" ht="33.75" customHeight="1">
      <c r="A145" s="103" t="s">
        <v>54</v>
      </c>
      <c r="B145" s="138">
        <v>563</v>
      </c>
      <c r="C145" s="96">
        <v>961</v>
      </c>
      <c r="D145" s="97"/>
      <c r="E145" s="99">
        <f>D145/D108*100</f>
        <v>0</v>
      </c>
      <c r="F145" s="87">
        <f t="shared" si="15"/>
        <v>0</v>
      </c>
      <c r="G145" s="87">
        <f t="shared" si="12"/>
        <v>0</v>
      </c>
      <c r="H145" s="88">
        <f t="shared" si="13"/>
        <v>563</v>
      </c>
      <c r="I145" s="88">
        <f t="shared" si="14"/>
        <v>961</v>
      </c>
    </row>
    <row r="146" spans="1:9" s="100" customFormat="1" ht="18.75" hidden="1">
      <c r="A146" s="103" t="s">
        <v>90</v>
      </c>
      <c r="B146" s="138"/>
      <c r="C146" s="96"/>
      <c r="D146" s="97"/>
      <c r="E146" s="99">
        <f>D146/D108*100</f>
        <v>0</v>
      </c>
      <c r="F146" s="87" t="e">
        <f>D146/B146*100</f>
        <v>#DIV/0!</v>
      </c>
      <c r="G146" s="87" t="e">
        <f t="shared" si="12"/>
        <v>#DIV/0!</v>
      </c>
      <c r="H146" s="88">
        <f t="shared" si="13"/>
        <v>0</v>
      </c>
      <c r="I146" s="88">
        <f t="shared" si="14"/>
        <v>0</v>
      </c>
    </row>
    <row r="147" spans="1:9" s="100" customFormat="1" ht="19.5" customHeight="1">
      <c r="A147" s="103" t="s">
        <v>95</v>
      </c>
      <c r="B147" s="138">
        <f>46218.6+3000</f>
        <v>49218.6</v>
      </c>
      <c r="C147" s="96">
        <v>148561.8</v>
      </c>
      <c r="D147" s="97">
        <f>457.7+20.2+2395.4+103.8+376.7+1013.1+85.7+519.6+3989.1+192.1+9596.6+54.9+0.1+1136.8+45.8+142.4+633.4+904.4+5049.6+60.3+794.6+1729.3+2357+1916.4</f>
        <v>33575</v>
      </c>
      <c r="E147" s="99">
        <f>D147/D108*100</f>
        <v>24.7554135647132</v>
      </c>
      <c r="F147" s="87">
        <f t="shared" si="15"/>
        <v>68.21608091250056</v>
      </c>
      <c r="G147" s="87">
        <f t="shared" si="12"/>
        <v>22.600022347602145</v>
      </c>
      <c r="H147" s="88">
        <f t="shared" si="13"/>
        <v>15643.599999999999</v>
      </c>
      <c r="I147" s="88">
        <f t="shared" si="14"/>
        <v>114986.79999999999</v>
      </c>
    </row>
    <row r="148" spans="1:9" s="100" customFormat="1" ht="18.75" hidden="1">
      <c r="A148" s="103" t="s">
        <v>84</v>
      </c>
      <c r="B148" s="138"/>
      <c r="C148" s="96"/>
      <c r="D148" s="97"/>
      <c r="E148" s="99">
        <f>D148/D108*100</f>
        <v>0</v>
      </c>
      <c r="F148" s="87" t="e">
        <f t="shared" si="15"/>
        <v>#DIV/0!</v>
      </c>
      <c r="G148" s="87" t="e">
        <f t="shared" si="12"/>
        <v>#DIV/0!</v>
      </c>
      <c r="H148" s="88">
        <f t="shared" si="13"/>
        <v>0</v>
      </c>
      <c r="I148" s="88">
        <f t="shared" si="14"/>
        <v>0</v>
      </c>
    </row>
    <row r="149" spans="1:9" s="100" customFormat="1" ht="18.75">
      <c r="A149" s="103" t="s">
        <v>108</v>
      </c>
      <c r="B149" s="138">
        <v>18</v>
      </c>
      <c r="C149" s="96">
        <v>50</v>
      </c>
      <c r="D149" s="97">
        <f>1+0.7+0.3</f>
        <v>2</v>
      </c>
      <c r="E149" s="99">
        <f>D149/D110*100</f>
        <v>0.3536693191865605</v>
      </c>
      <c r="F149" s="87">
        <f>D149/B149*100</f>
        <v>11.11111111111111</v>
      </c>
      <c r="G149" s="87">
        <f>D149/C149*100</f>
        <v>4</v>
      </c>
      <c r="H149" s="88">
        <f>B149-D149</f>
        <v>16</v>
      </c>
      <c r="I149" s="88">
        <f>C149-D149</f>
        <v>48</v>
      </c>
    </row>
    <row r="150" spans="1:9" s="100" customFormat="1" ht="18.75">
      <c r="A150" s="95" t="s">
        <v>96</v>
      </c>
      <c r="B150" s="138">
        <v>29.5</v>
      </c>
      <c r="C150" s="96">
        <v>93.9</v>
      </c>
      <c r="D150" s="97">
        <f>29.5</f>
        <v>29.5</v>
      </c>
      <c r="E150" s="99">
        <f>D150/D108*100</f>
        <v>0.021750847361401024</v>
      </c>
      <c r="F150" s="87">
        <f t="shared" si="15"/>
        <v>100</v>
      </c>
      <c r="G150" s="87">
        <f t="shared" si="12"/>
        <v>31.416400425985085</v>
      </c>
      <c r="H150" s="88">
        <f t="shared" si="13"/>
        <v>0</v>
      </c>
      <c r="I150" s="88">
        <f t="shared" si="14"/>
        <v>64.4</v>
      </c>
    </row>
    <row r="151" spans="1:9" s="100" customFormat="1" ht="18" customHeight="1">
      <c r="A151" s="95" t="s">
        <v>75</v>
      </c>
      <c r="B151" s="138">
        <f>185.6+4770</f>
        <v>4955.6</v>
      </c>
      <c r="C151" s="96">
        <f>509.5+13731.5</f>
        <v>14241</v>
      </c>
      <c r="D151" s="97">
        <f>469.6+898.6+871.8+55</f>
        <v>2295</v>
      </c>
      <c r="E151" s="99">
        <f>D151/D108*100</f>
        <v>1.692142193031029</v>
      </c>
      <c r="F151" s="87">
        <f t="shared" si="15"/>
        <v>46.311243845346674</v>
      </c>
      <c r="G151" s="87">
        <f t="shared" si="12"/>
        <v>16.11544133136718</v>
      </c>
      <c r="H151" s="88">
        <f t="shared" si="13"/>
        <v>2660.6000000000004</v>
      </c>
      <c r="I151" s="88">
        <f t="shared" si="14"/>
        <v>11946</v>
      </c>
    </row>
    <row r="152" spans="1:9" s="100" customFormat="1" ht="19.5" customHeight="1">
      <c r="A152" s="95" t="s">
        <v>48</v>
      </c>
      <c r="B152" s="138">
        <v>70916.3</v>
      </c>
      <c r="C152" s="96">
        <v>365455.19</v>
      </c>
      <c r="D152" s="97">
        <f>9702+30405.7+10266.3+91.6-29196.2+1482.1+9293.3+20631.5+2864.5+2072.8+10611.8+26.4-6447.8-3782.8-4677.3+4676.1-2746.7-2356.3-5820.8+6091.9+14434.9+3293.3-2161.9+2161.9</f>
        <v>70916.29999999997</v>
      </c>
      <c r="E152" s="99">
        <f>D152/D108*100</f>
        <v>52.28778361814654</v>
      </c>
      <c r="F152" s="87">
        <f t="shared" si="15"/>
        <v>99.99999999999996</v>
      </c>
      <c r="G152" s="87">
        <f t="shared" si="12"/>
        <v>19.40492348733643</v>
      </c>
      <c r="H152" s="88">
        <f t="shared" si="13"/>
        <v>0</v>
      </c>
      <c r="I152" s="88">
        <f>C152-D152</f>
        <v>294538.89</v>
      </c>
    </row>
    <row r="153" spans="1:9" s="100" customFormat="1" ht="18.75">
      <c r="A153" s="95" t="s">
        <v>97</v>
      </c>
      <c r="B153" s="138">
        <v>22641.6</v>
      </c>
      <c r="C153" s="96">
        <v>67925</v>
      </c>
      <c r="D153" s="97">
        <f>1886.8+1886.8+1886.8+1886.8+1886.8+1886.8+1886.8+1886.8+1886.8+1886.8</f>
        <v>18867.999999999996</v>
      </c>
      <c r="E153" s="99">
        <f>D153/D108*100</f>
        <v>13.911694508980151</v>
      </c>
      <c r="F153" s="87">
        <f t="shared" si="15"/>
        <v>83.33333333333333</v>
      </c>
      <c r="G153" s="87">
        <f t="shared" si="12"/>
        <v>27.777695988222302</v>
      </c>
      <c r="H153" s="88">
        <f t="shared" si="13"/>
        <v>3773.600000000002</v>
      </c>
      <c r="I153" s="88">
        <f t="shared" si="14"/>
        <v>49057</v>
      </c>
    </row>
    <row r="154" spans="1:9" s="2" customFormat="1" ht="19.5" thickBot="1">
      <c r="A154" s="26" t="s">
        <v>27</v>
      </c>
      <c r="B154" s="139"/>
      <c r="C154" s="59"/>
      <c r="D154" s="40">
        <f>D43+D70+D73+D78+D80+D88+D103+D108+D101+D85+D99</f>
        <v>151734.09999999998</v>
      </c>
      <c r="E154" s="14"/>
      <c r="F154" s="14"/>
      <c r="G154" s="6"/>
      <c r="H154" s="48"/>
      <c r="I154" s="40"/>
    </row>
    <row r="155" spans="1:11" ht="19.5" thickBot="1">
      <c r="A155" s="11" t="s">
        <v>16</v>
      </c>
      <c r="B155" s="36">
        <f>B6+B18+B33+B43+B52+B60+B70+B73+B78+B80+B88+B91+B96+B103+B108+B101+B85+B99+B46</f>
        <v>806271.1</v>
      </c>
      <c r="C155" s="36">
        <f>C6+C18+C33+C43+C52+C60+C70+C73+C78+C80+C88+C91+C96+C103+C108+C101+C85+C99+C46</f>
        <v>2503125.6900000004</v>
      </c>
      <c r="D155" s="36">
        <f>D6+D18+D33+D43+D52+D60+D70+D73+D78+D80+D88+D91+D96+D103+D108+D101+D85+D99+D46</f>
        <v>588237.3</v>
      </c>
      <c r="E155" s="25">
        <v>100</v>
      </c>
      <c r="F155" s="3">
        <f>D155/B155*100</f>
        <v>72.95775577222103</v>
      </c>
      <c r="G155" s="3">
        <f aca="true" t="shared" si="16" ref="G155:G161">D155/C155*100</f>
        <v>23.500110375999537</v>
      </c>
      <c r="H155" s="36">
        <f>B155-D155</f>
        <v>218033.79999999993</v>
      </c>
      <c r="I155" s="36">
        <f aca="true" t="shared" si="17" ref="I155:I161">C155-D155</f>
        <v>1914888.3900000004</v>
      </c>
      <c r="K155" s="143">
        <f>D155-114199.9-202905.8-214631.3</f>
        <v>56500.30000000005</v>
      </c>
    </row>
    <row r="156" spans="1:9" ht="18.75">
      <c r="A156" s="15" t="s">
        <v>5</v>
      </c>
      <c r="B156" s="47">
        <f>B8+B20+B34+B53+B61+B92+B116+B121+B47+B143+B134+B104</f>
        <v>325444.10000000003</v>
      </c>
      <c r="C156" s="47">
        <f>C8+C20+C34+C53+C61+C92+C116+C121+C47+C143+C134+C104</f>
        <v>987414.6</v>
      </c>
      <c r="D156" s="47">
        <f>D8+D20+D34+D53+D61+D92+D116+D121+D47+D143+D134+D104</f>
        <v>238384.3</v>
      </c>
      <c r="E156" s="6">
        <f>D156/D155*100</f>
        <v>40.525192809092516</v>
      </c>
      <c r="F156" s="6">
        <f aca="true" t="shared" si="18" ref="F156:F161">D156/B156*100</f>
        <v>73.24892354785352</v>
      </c>
      <c r="G156" s="6">
        <f t="shared" si="16"/>
        <v>24.142270126449418</v>
      </c>
      <c r="H156" s="48">
        <f aca="true" t="shared" si="19" ref="H156:H161">B156-D156</f>
        <v>87059.80000000005</v>
      </c>
      <c r="I156" s="58">
        <f t="shared" si="17"/>
        <v>749030.3</v>
      </c>
    </row>
    <row r="157" spans="1:9" ht="18.75">
      <c r="A157" s="15" t="s">
        <v>0</v>
      </c>
      <c r="B157" s="88">
        <f>B11+B23+B36+B56+B63+B93+B50+B144+B110+B113+B97+B141+B130</f>
        <v>69720.59999999999</v>
      </c>
      <c r="C157" s="88">
        <f>C11+C23+C36+C56+C63+C93+C50+C144+C110+C113+C97+C141+C130</f>
        <v>125178.8</v>
      </c>
      <c r="D157" s="88">
        <f>D11+D23+D36+D56+D63+D93+D50+D144+D110+D113+D97+D141+D130</f>
        <v>45733.7</v>
      </c>
      <c r="E157" s="6">
        <f>D157/D155*100</f>
        <v>7.774702488264514</v>
      </c>
      <c r="F157" s="6">
        <f t="shared" si="18"/>
        <v>65.5956776046104</v>
      </c>
      <c r="G157" s="6">
        <f t="shared" si="16"/>
        <v>36.534700764027136</v>
      </c>
      <c r="H157" s="48">
        <f>B157-D157</f>
        <v>23986.899999999994</v>
      </c>
      <c r="I157" s="58">
        <f t="shared" si="17"/>
        <v>79445.1</v>
      </c>
    </row>
    <row r="158" spans="1:9" ht="18.75">
      <c r="A158" s="15" t="s">
        <v>1</v>
      </c>
      <c r="B158" s="149">
        <f>B22+B10+B55+B49+B62+B35+B125</f>
        <v>20597.8</v>
      </c>
      <c r="C158" s="149">
        <f>C22+C10+C55+C49+C62+C35+C125</f>
        <v>48385.3</v>
      </c>
      <c r="D158" s="149">
        <f>D22+D10+D55+D49+D62+D35+D125</f>
        <v>14058.3</v>
      </c>
      <c r="E158" s="6">
        <f>D158/D155*100</f>
        <v>2.3899028504312794</v>
      </c>
      <c r="F158" s="6">
        <f t="shared" si="18"/>
        <v>68.25146374855568</v>
      </c>
      <c r="G158" s="6">
        <f t="shared" si="16"/>
        <v>29.054898905246013</v>
      </c>
      <c r="H158" s="48">
        <f t="shared" si="19"/>
        <v>6539.5</v>
      </c>
      <c r="I158" s="58">
        <f t="shared" si="17"/>
        <v>34327</v>
      </c>
    </row>
    <row r="159" spans="1:9" ht="21" customHeight="1">
      <c r="A159" s="15" t="s">
        <v>12</v>
      </c>
      <c r="B159" s="149">
        <f>B12+B24+B105+B64+B38+B94+B132+B57+B139+B119+B44</f>
        <v>26577.000000000004</v>
      </c>
      <c r="C159" s="149">
        <f>C12+C24+C105+C64+C38+C94+C132+C57+C139+C119+C44</f>
        <v>89940.20000000001</v>
      </c>
      <c r="D159" s="149">
        <f>D12+D24+D105+D64+D38+D94+D132+D57+D139+D119+D44</f>
        <v>19101.399999999998</v>
      </c>
      <c r="E159" s="6">
        <f>D159/D155*100</f>
        <v>3.247226926956179</v>
      </c>
      <c r="F159" s="6">
        <f t="shared" si="18"/>
        <v>71.87191932874288</v>
      </c>
      <c r="G159" s="6">
        <f t="shared" si="16"/>
        <v>21.237889175251993</v>
      </c>
      <c r="H159" s="48">
        <f>B159-D159</f>
        <v>7475.600000000006</v>
      </c>
      <c r="I159" s="58">
        <f t="shared" si="17"/>
        <v>70838.80000000002</v>
      </c>
    </row>
    <row r="160" spans="1:9" ht="18.75">
      <c r="A160" s="15" t="s">
        <v>2</v>
      </c>
      <c r="B160" s="47">
        <f>B9+B21+B48+B54+B124</f>
        <v>52.6</v>
      </c>
      <c r="C160" s="47">
        <f>C9+C21+C48+C54+C124</f>
        <v>122.9</v>
      </c>
      <c r="D160" s="47">
        <f>D9+D21+D48+D54+D124</f>
        <v>36.599999999999994</v>
      </c>
      <c r="E160" s="6">
        <f>D160/D155*100</f>
        <v>0.006221978783052348</v>
      </c>
      <c r="F160" s="6">
        <f t="shared" si="18"/>
        <v>69.58174904942965</v>
      </c>
      <c r="G160" s="6">
        <f t="shared" si="16"/>
        <v>29.78030919446704</v>
      </c>
      <c r="H160" s="48">
        <f t="shared" si="19"/>
        <v>16.000000000000007</v>
      </c>
      <c r="I160" s="58">
        <f t="shared" si="17"/>
        <v>86.30000000000001</v>
      </c>
    </row>
    <row r="161" spans="1:9" ht="19.5" thickBot="1">
      <c r="A161" s="80" t="s">
        <v>25</v>
      </c>
      <c r="B161" s="60">
        <f>B155-B156-B157-B158-B159-B160</f>
        <v>363879</v>
      </c>
      <c r="C161" s="60">
        <f>C155-C156-C157-C158-C159-C160</f>
        <v>1252083.8900000004</v>
      </c>
      <c r="D161" s="60">
        <f>D155-D156-D157-D158-D159-D160</f>
        <v>270923.00000000006</v>
      </c>
      <c r="E161" s="28">
        <f>D161/D155*100</f>
        <v>46.05675294647246</v>
      </c>
      <c r="F161" s="28">
        <f t="shared" si="18"/>
        <v>74.4541454714342</v>
      </c>
      <c r="G161" s="28">
        <f t="shared" si="16"/>
        <v>21.63776741828377</v>
      </c>
      <c r="H161" s="81">
        <f t="shared" si="19"/>
        <v>92955.99999999994</v>
      </c>
      <c r="I161" s="81">
        <f t="shared" si="17"/>
        <v>981160.8900000004</v>
      </c>
    </row>
    <row r="162" spans="7:8" ht="12.75">
      <c r="G162" s="147"/>
      <c r="H162" s="147"/>
    </row>
    <row r="163" spans="3:9" ht="12.75">
      <c r="C163" s="143"/>
      <c r="G163" s="147"/>
      <c r="H163" s="147"/>
      <c r="I163" s="147"/>
    </row>
    <row r="164" spans="4:8" ht="12.75">
      <c r="D164" s="143"/>
      <c r="G164" s="147"/>
      <c r="H164" s="147"/>
    </row>
    <row r="165" spans="7:8" ht="12.75">
      <c r="G165" s="147"/>
      <c r="H165" s="147"/>
    </row>
    <row r="166" spans="2:8" ht="12.75">
      <c r="B166" s="148"/>
      <c r="C166" s="148"/>
      <c r="D166" s="143"/>
      <c r="G166" s="147"/>
      <c r="H166" s="147"/>
    </row>
    <row r="167" spans="7:8" ht="12.75">
      <c r="G167" s="147"/>
      <c r="H167" s="147"/>
    </row>
    <row r="168" spans="2:8" ht="12.75">
      <c r="B168" s="148"/>
      <c r="C168" s="148"/>
      <c r="D168" s="148"/>
      <c r="G168" s="147"/>
      <c r="H168" s="147"/>
    </row>
    <row r="169" spans="2:8" ht="12.75">
      <c r="B169" s="148"/>
      <c r="G169" s="147"/>
      <c r="H169" s="147"/>
    </row>
    <row r="170" spans="2:8" ht="12.75">
      <c r="B170" s="148"/>
      <c r="C170" s="143"/>
      <c r="G170" s="147"/>
      <c r="H170" s="147"/>
    </row>
    <row r="171" spans="7:8" ht="12.75">
      <c r="G171" s="147"/>
      <c r="H171" s="147"/>
    </row>
    <row r="172" spans="7:8" ht="12.75">
      <c r="G172" s="147"/>
      <c r="H172" s="147"/>
    </row>
    <row r="173" spans="7:8" ht="12.75">
      <c r="G173" s="147"/>
      <c r="H173" s="147"/>
    </row>
    <row r="174" spans="7:8" ht="12.75">
      <c r="G174" s="147"/>
      <c r="H174" s="147"/>
    </row>
    <row r="175" spans="7:8" ht="12.75">
      <c r="G175" s="147"/>
      <c r="H175" s="147"/>
    </row>
    <row r="176" spans="3:8" ht="12.75">
      <c r="C176" s="143"/>
      <c r="G176" s="147"/>
      <c r="H176" s="147"/>
    </row>
    <row r="177" spans="7:8" ht="12.75">
      <c r="G177" s="147"/>
      <c r="H177" s="147"/>
    </row>
    <row r="178" spans="7:8" ht="12.75">
      <c r="G178" s="147"/>
      <c r="H178" s="147"/>
    </row>
    <row r="179" spans="7:8" ht="12.75">
      <c r="G179" s="147"/>
      <c r="H179" s="147"/>
    </row>
    <row r="180" spans="7:8" ht="12.75">
      <c r="G180" s="147"/>
      <c r="H180" s="147"/>
    </row>
    <row r="181" spans="7:8" ht="12.75">
      <c r="G181" s="147"/>
      <c r="H181" s="147"/>
    </row>
    <row r="182" spans="7:8" ht="12.75">
      <c r="G182" s="147"/>
      <c r="H182" s="147"/>
    </row>
    <row r="183" spans="7:8" ht="12.75">
      <c r="G183" s="147"/>
      <c r="H183" s="147"/>
    </row>
    <row r="184" spans="7:8" ht="12.75">
      <c r="G184" s="147"/>
      <c r="H184" s="147"/>
    </row>
    <row r="185" spans="7:8" ht="12.75">
      <c r="G185" s="147"/>
      <c r="H185" s="147"/>
    </row>
    <row r="186" spans="7:8" ht="12.75">
      <c r="G186" s="147"/>
      <c r="H186" s="147"/>
    </row>
    <row r="187" spans="7:8" ht="12.75">
      <c r="G187" s="147"/>
      <c r="H187" s="147"/>
    </row>
    <row r="188" spans="7:8" ht="12.75">
      <c r="G188" s="147"/>
      <c r="H188" s="147"/>
    </row>
    <row r="189" spans="7:8" ht="12.75">
      <c r="G189" s="147"/>
      <c r="H189" s="147"/>
    </row>
    <row r="190" spans="7:8" ht="12.75">
      <c r="G190" s="147"/>
      <c r="H190" s="147"/>
    </row>
    <row r="191" spans="7:8" ht="12.75">
      <c r="G191" s="147"/>
      <c r="H191" s="147"/>
    </row>
    <row r="192" spans="7:8" ht="12.75">
      <c r="G192" s="147"/>
      <c r="H192" s="147"/>
    </row>
    <row r="193" spans="7:8" ht="12.75">
      <c r="G193" s="147"/>
      <c r="H193" s="147"/>
    </row>
    <row r="194" spans="7:8" ht="12.75">
      <c r="G194" s="147"/>
      <c r="H194" s="147"/>
    </row>
    <row r="195" spans="7:8" ht="12.75">
      <c r="G195" s="147"/>
      <c r="H195" s="147"/>
    </row>
    <row r="196" spans="7:8" ht="12.75">
      <c r="G196" s="147"/>
      <c r="H196" s="147"/>
    </row>
    <row r="197" spans="7:8" ht="12.75">
      <c r="G197" s="147"/>
      <c r="H197" s="147"/>
    </row>
    <row r="198" spans="7:8" ht="12.75">
      <c r="G198" s="147"/>
      <c r="H198" s="147"/>
    </row>
    <row r="199" spans="7:8" ht="12.75">
      <c r="G199" s="147"/>
      <c r="H199" s="147"/>
    </row>
    <row r="200" spans="7:8" ht="12.75">
      <c r="G200" s="147"/>
      <c r="H200" s="147"/>
    </row>
    <row r="201" spans="7:8" ht="12.75">
      <c r="G201" s="147"/>
      <c r="H201" s="147"/>
    </row>
    <row r="202" spans="7:8" ht="12.75">
      <c r="G202" s="147"/>
      <c r="H202" s="147"/>
    </row>
    <row r="203" spans="7:8" ht="12.75">
      <c r="G203" s="147"/>
      <c r="H203" s="147"/>
    </row>
    <row r="204" spans="7:8" ht="12.75">
      <c r="G204" s="147"/>
      <c r="H204" s="147"/>
    </row>
    <row r="205" spans="7:8" ht="12.75">
      <c r="G205" s="147"/>
      <c r="H205" s="147"/>
    </row>
    <row r="206" spans="7:8" ht="12.75">
      <c r="G206" s="147"/>
      <c r="H206" s="147"/>
    </row>
    <row r="207" spans="7:8" ht="12.75">
      <c r="G207" s="147"/>
      <c r="H207" s="147"/>
    </row>
    <row r="208" spans="7:8" ht="12.75">
      <c r="G208" s="147"/>
      <c r="H208" s="147"/>
    </row>
    <row r="209" spans="7:8" ht="12.75">
      <c r="G209" s="147"/>
      <c r="H209" s="147"/>
    </row>
    <row r="210" spans="7:8" ht="12.75">
      <c r="G210" s="147"/>
      <c r="H210" s="147"/>
    </row>
    <row r="211" spans="7:8" ht="12.75">
      <c r="G211" s="147"/>
      <c r="H211" s="147"/>
    </row>
    <row r="212" spans="7:8" ht="12.75">
      <c r="G212" s="147"/>
      <c r="H212" s="147"/>
    </row>
    <row r="213" spans="7:8" ht="12.75">
      <c r="G213" s="147"/>
      <c r="H213" s="147"/>
    </row>
    <row r="214" spans="7:8" ht="12.75">
      <c r="G214" s="147"/>
      <c r="H214" s="147"/>
    </row>
    <row r="215" spans="7:8" ht="12.75">
      <c r="G215" s="147"/>
      <c r="H215" s="147"/>
    </row>
    <row r="216" spans="7:8" ht="12.75">
      <c r="G216" s="147"/>
      <c r="H216" s="147"/>
    </row>
    <row r="217" spans="7:8" ht="12.75">
      <c r="G217" s="147"/>
      <c r="H217" s="147"/>
    </row>
    <row r="218" spans="7:8" ht="12.75">
      <c r="G218" s="147"/>
      <c r="H218" s="147"/>
    </row>
    <row r="219" spans="7:8" ht="12.75">
      <c r="G219" s="147"/>
      <c r="H219" s="147"/>
    </row>
    <row r="220" spans="7:8" ht="12.75">
      <c r="G220" s="147"/>
      <c r="H220" s="147"/>
    </row>
    <row r="221" spans="7:8" ht="12.75">
      <c r="G221" s="147"/>
      <c r="H221" s="147"/>
    </row>
    <row r="222" spans="7:8" ht="12.75">
      <c r="G222" s="147"/>
      <c r="H222" s="147"/>
    </row>
    <row r="223" spans="7:8" ht="12.75">
      <c r="G223" s="147"/>
      <c r="H223" s="147"/>
    </row>
    <row r="224" spans="7:8" ht="12.75">
      <c r="G224" s="147"/>
      <c r="H224" s="147"/>
    </row>
    <row r="225" spans="7:8" ht="12.75">
      <c r="G225" s="147"/>
      <c r="H225" s="147"/>
    </row>
    <row r="226" spans="7:8" ht="12.75">
      <c r="G226" s="147"/>
      <c r="H226" s="147"/>
    </row>
    <row r="227" spans="7:8" ht="12.75">
      <c r="G227" s="147"/>
      <c r="H227" s="147"/>
    </row>
    <row r="228" spans="7:8" ht="12.75">
      <c r="G228" s="147"/>
      <c r="H228" s="147"/>
    </row>
    <row r="229" spans="7:8" ht="12.75">
      <c r="G229" s="147"/>
      <c r="H229" s="147"/>
    </row>
    <row r="230" spans="7:8" ht="12.75">
      <c r="G230" s="147"/>
      <c r="H230" s="147"/>
    </row>
    <row r="231" spans="7:8" ht="12.75">
      <c r="G231" s="147"/>
      <c r="H231" s="147"/>
    </row>
    <row r="232" spans="7:8" ht="12.75">
      <c r="G232" s="147"/>
      <c r="H232" s="147"/>
    </row>
    <row r="233" spans="7:8" ht="12.75">
      <c r="G233" s="147"/>
      <c r="H233" s="147"/>
    </row>
    <row r="234" spans="7:8" ht="12.75">
      <c r="G234" s="147"/>
      <c r="H234" s="147"/>
    </row>
    <row r="235" spans="7:8" ht="12.75">
      <c r="G235" s="147"/>
      <c r="H235" s="147"/>
    </row>
    <row r="236" spans="7:8" ht="12.75">
      <c r="G236" s="147"/>
      <c r="H236" s="147"/>
    </row>
    <row r="237" spans="7:8" ht="12.75">
      <c r="G237" s="147"/>
      <c r="H237" s="147"/>
    </row>
    <row r="238" spans="7:8" ht="12.75">
      <c r="G238" s="147"/>
      <c r="H238" s="147"/>
    </row>
    <row r="239" spans="7:8" ht="12.75">
      <c r="G239" s="147"/>
      <c r="H239" s="147"/>
    </row>
    <row r="240" spans="7:8" ht="12.75">
      <c r="G240" s="147"/>
      <c r="H240" s="147"/>
    </row>
    <row r="241" spans="7:8" ht="12.75">
      <c r="G241" s="147"/>
      <c r="H241" s="147"/>
    </row>
    <row r="242" spans="7:8" ht="12.75">
      <c r="G242" s="147"/>
      <c r="H242" s="147"/>
    </row>
    <row r="243" spans="7:8" ht="12.75">
      <c r="G243" s="147"/>
      <c r="H243" s="147"/>
    </row>
    <row r="244" spans="7:8" ht="12.75">
      <c r="G244" s="147"/>
      <c r="H244" s="147"/>
    </row>
    <row r="245" spans="7:8" ht="12.75">
      <c r="G245" s="147"/>
      <c r="H245" s="147"/>
    </row>
    <row r="246" spans="7:8" ht="12.75">
      <c r="G246" s="147"/>
      <c r="H246" s="147"/>
    </row>
    <row r="247" spans="7:8" ht="12.75">
      <c r="G247" s="147"/>
      <c r="H247" s="147"/>
    </row>
    <row r="248" spans="7:8" ht="12.75">
      <c r="G248" s="147"/>
      <c r="H248" s="147"/>
    </row>
    <row r="249" spans="7:8" ht="12.75">
      <c r="G249" s="147"/>
      <c r="H249" s="147"/>
    </row>
    <row r="250" spans="7:8" ht="12.75">
      <c r="G250" s="147"/>
      <c r="H250" s="147"/>
    </row>
    <row r="251" spans="7:8" ht="12.75">
      <c r="G251" s="147"/>
      <c r="H251" s="147"/>
    </row>
    <row r="252" spans="7:8" ht="12.75">
      <c r="G252" s="147"/>
      <c r="H252" s="147"/>
    </row>
    <row r="253" spans="7:8" ht="12.75">
      <c r="G253" s="147"/>
      <c r="H253" s="147"/>
    </row>
    <row r="254" spans="7:8" ht="12.75">
      <c r="G254" s="147"/>
      <c r="H254" s="147"/>
    </row>
    <row r="255" spans="7:8" ht="12.75">
      <c r="G255" s="147"/>
      <c r="H255" s="147"/>
    </row>
    <row r="256" spans="7:8" ht="12.75">
      <c r="G256" s="147"/>
      <c r="H256" s="147"/>
    </row>
    <row r="257" spans="7:8" ht="12.75">
      <c r="G257" s="147"/>
      <c r="H257" s="147"/>
    </row>
    <row r="258" spans="7:8" ht="12.75">
      <c r="G258" s="147"/>
      <c r="H258" s="147"/>
    </row>
    <row r="259" spans="7:8" ht="12.75">
      <c r="G259" s="147"/>
      <c r="H259" s="147"/>
    </row>
    <row r="260" spans="7:8" ht="12.75">
      <c r="G260" s="147"/>
      <c r="H260" s="147"/>
    </row>
    <row r="261" spans="7:8" ht="12.75">
      <c r="G261" s="147"/>
      <c r="H261" s="147"/>
    </row>
    <row r="262" spans="7:8" ht="12.75">
      <c r="G262" s="147"/>
      <c r="H262" s="147"/>
    </row>
    <row r="263" spans="7:8" ht="12.75">
      <c r="G263" s="147"/>
      <c r="H263" s="147"/>
    </row>
    <row r="264" spans="7:8" ht="12.75">
      <c r="G264" s="147"/>
      <c r="H264" s="147"/>
    </row>
    <row r="265" spans="7:8" ht="12.75">
      <c r="G265" s="147"/>
      <c r="H265" s="147"/>
    </row>
    <row r="266" spans="7:8" ht="12.75">
      <c r="G266" s="147"/>
      <c r="H266" s="147"/>
    </row>
    <row r="267" spans="7:8" ht="12.75">
      <c r="G267" s="147"/>
      <c r="H267" s="147"/>
    </row>
    <row r="268" spans="7:8" ht="12.75">
      <c r="G268" s="147"/>
      <c r="H268" s="147"/>
    </row>
    <row r="269" spans="7:8" ht="12.75">
      <c r="G269" s="147"/>
      <c r="H269" s="147"/>
    </row>
    <row r="270" spans="7:8" ht="12.75">
      <c r="G270" s="147"/>
      <c r="H270" s="147"/>
    </row>
    <row r="271" spans="7:8" ht="12.75">
      <c r="G271" s="147"/>
      <c r="H271" s="147"/>
    </row>
    <row r="272" spans="7:8" ht="12.75">
      <c r="G272" s="147"/>
      <c r="H272" s="147"/>
    </row>
    <row r="273" spans="7:8" ht="12.75">
      <c r="G273" s="147"/>
      <c r="H273" s="147"/>
    </row>
    <row r="274" spans="7:8" ht="12.75">
      <c r="G274" s="147"/>
      <c r="H274" s="147"/>
    </row>
    <row r="275" spans="7:8" ht="12.75">
      <c r="G275" s="147"/>
      <c r="H275" s="147"/>
    </row>
    <row r="276" spans="7:8" ht="12.75">
      <c r="G276" s="147"/>
      <c r="H276" s="147"/>
    </row>
    <row r="277" spans="7:8" ht="12.75">
      <c r="G277" s="147"/>
      <c r="H277" s="147"/>
    </row>
    <row r="278" spans="7:8" ht="12.75">
      <c r="G278" s="147"/>
      <c r="H278" s="147"/>
    </row>
    <row r="279" spans="7:8" ht="12.75">
      <c r="G279" s="147"/>
      <c r="H279" s="147"/>
    </row>
    <row r="280" spans="7:8" ht="12.75">
      <c r="G280" s="147"/>
      <c r="H280" s="147"/>
    </row>
    <row r="281" spans="7:8" ht="12.75">
      <c r="G281" s="147"/>
      <c r="H281" s="147"/>
    </row>
    <row r="282" spans="7:8" ht="12.75">
      <c r="G282" s="147"/>
      <c r="H282" s="147"/>
    </row>
    <row r="283" spans="7:8" ht="12.75">
      <c r="G283" s="147"/>
      <c r="H283" s="147"/>
    </row>
    <row r="284" spans="7:8" ht="12.75">
      <c r="G284" s="147"/>
      <c r="H284" s="147"/>
    </row>
    <row r="285" spans="7:8" ht="12.75">
      <c r="G285" s="147"/>
      <c r="H285" s="147"/>
    </row>
    <row r="286" spans="7:8" ht="12.75">
      <c r="G286" s="147"/>
      <c r="H286" s="147"/>
    </row>
    <row r="287" spans="7:8" ht="12.75">
      <c r="G287" s="147"/>
      <c r="H287" s="147"/>
    </row>
    <row r="288" spans="7:8" ht="12.75">
      <c r="G288" s="147"/>
      <c r="H288" s="147"/>
    </row>
    <row r="289" spans="7:8" ht="12.75">
      <c r="G289" s="147"/>
      <c r="H289" s="147"/>
    </row>
    <row r="290" spans="7:8" ht="12.75">
      <c r="G290" s="147"/>
      <c r="H290" s="147"/>
    </row>
    <row r="291" spans="7:8" ht="12.75">
      <c r="G291" s="147"/>
      <c r="H291" s="147"/>
    </row>
    <row r="292" spans="7:8" ht="12.75">
      <c r="G292" s="147"/>
      <c r="H292" s="147"/>
    </row>
    <row r="293" spans="7:8" ht="12.75">
      <c r="G293" s="147"/>
      <c r="H293" s="147"/>
    </row>
    <row r="294" spans="7:8" ht="12.75">
      <c r="G294" s="147"/>
      <c r="H294" s="147"/>
    </row>
    <row r="295" spans="7:8" ht="12.75">
      <c r="G295" s="147"/>
      <c r="H295" s="147"/>
    </row>
    <row r="296" spans="7:8" ht="12.75">
      <c r="G296" s="147"/>
      <c r="H296" s="147"/>
    </row>
    <row r="297" spans="7:8" ht="12.75">
      <c r="G297" s="147"/>
      <c r="H297" s="147"/>
    </row>
    <row r="298" spans="7:8" ht="12.75">
      <c r="G298" s="147"/>
      <c r="H298" s="147"/>
    </row>
    <row r="299" spans="7:8" ht="12.75">
      <c r="G299" s="147"/>
      <c r="H299" s="147"/>
    </row>
    <row r="300" spans="7:8" ht="12.75">
      <c r="G300" s="147"/>
      <c r="H300" s="147"/>
    </row>
    <row r="301" spans="7:8" ht="12.75">
      <c r="G301" s="147"/>
      <c r="H301" s="147"/>
    </row>
    <row r="302" spans="7:8" ht="12.75">
      <c r="G302" s="147"/>
      <c r="H302" s="147"/>
    </row>
    <row r="303" spans="7:8" ht="12.75">
      <c r="G303" s="147"/>
      <c r="H303" s="147"/>
    </row>
    <row r="304" spans="7:8" ht="12.75">
      <c r="G304" s="147"/>
      <c r="H304" s="147"/>
    </row>
    <row r="305" spans="7:8" ht="12.75">
      <c r="G305" s="147"/>
      <c r="H305" s="147"/>
    </row>
    <row r="306" spans="7:8" ht="12.75">
      <c r="G306" s="147"/>
      <c r="H306" s="147"/>
    </row>
    <row r="307" spans="7:8" ht="12.75">
      <c r="G307" s="147"/>
      <c r="H307" s="147"/>
    </row>
    <row r="308" spans="7:8" ht="12.75">
      <c r="G308" s="147"/>
      <c r="H308" s="147"/>
    </row>
    <row r="309" spans="7:8" ht="12.75">
      <c r="G309" s="147"/>
      <c r="H309" s="147"/>
    </row>
    <row r="310" spans="7:8" ht="12.75">
      <c r="G310" s="147"/>
      <c r="H310" s="147"/>
    </row>
    <row r="311" spans="7:8" ht="12.75">
      <c r="G311" s="147"/>
      <c r="H311" s="147"/>
    </row>
    <row r="312" spans="7:8" ht="12.75">
      <c r="G312" s="147"/>
      <c r="H312" s="147"/>
    </row>
    <row r="313" spans="7:8" ht="12.75">
      <c r="G313" s="147"/>
      <c r="H313" s="147"/>
    </row>
    <row r="314" spans="7:8" ht="12.75">
      <c r="G314" s="147"/>
      <c r="H314" s="147"/>
    </row>
    <row r="315" spans="7:8" ht="12.75">
      <c r="G315" s="147"/>
      <c r="H315" s="147"/>
    </row>
    <row r="316" spans="7:8" ht="12.75">
      <c r="G316" s="147"/>
      <c r="H316" s="147"/>
    </row>
    <row r="317" spans="7:8" ht="12.75">
      <c r="G317" s="147"/>
      <c r="H317" s="147"/>
    </row>
    <row r="318" spans="7:8" ht="12.75">
      <c r="G318" s="147"/>
      <c r="H318" s="147"/>
    </row>
    <row r="319" spans="7:8" ht="12.75">
      <c r="G319" s="147"/>
      <c r="H319" s="147"/>
    </row>
    <row r="320" spans="7:8" ht="12.75">
      <c r="G320" s="147"/>
      <c r="H320" s="147"/>
    </row>
    <row r="321" spans="7:8" ht="12.75">
      <c r="G321" s="147"/>
      <c r="H321" s="147"/>
    </row>
    <row r="322" spans="7:8" ht="12.75">
      <c r="G322" s="147"/>
      <c r="H322" s="147"/>
    </row>
    <row r="323" spans="7:8" ht="12.75">
      <c r="G323" s="147"/>
      <c r="H323" s="147"/>
    </row>
    <row r="324" spans="7:8" ht="12.75">
      <c r="G324" s="147"/>
      <c r="H324" s="147"/>
    </row>
    <row r="325" spans="7:8" ht="12.75">
      <c r="G325" s="147"/>
      <c r="H325" s="147"/>
    </row>
    <row r="326" spans="7:8" ht="12.75">
      <c r="G326" s="147"/>
      <c r="H326" s="147"/>
    </row>
    <row r="327" spans="7:8" ht="12.75">
      <c r="G327" s="147"/>
      <c r="H327" s="147"/>
    </row>
    <row r="328" spans="7:8" ht="12.75">
      <c r="G328" s="147"/>
      <c r="H328" s="147"/>
    </row>
    <row r="329" spans="7:8" ht="12.75">
      <c r="G329" s="147"/>
      <c r="H329" s="147"/>
    </row>
    <row r="330" spans="7:8" ht="12.75">
      <c r="G330" s="147"/>
      <c r="H330" s="147"/>
    </row>
    <row r="331" spans="7:8" ht="12.75">
      <c r="G331" s="147"/>
      <c r="H331" s="147"/>
    </row>
    <row r="332" spans="7:8" ht="12.75">
      <c r="G332" s="147"/>
      <c r="H332" s="147"/>
    </row>
    <row r="333" spans="7:8" ht="12.75">
      <c r="G333" s="147"/>
      <c r="H333" s="147"/>
    </row>
    <row r="334" spans="7:8" ht="12.75">
      <c r="G334" s="147"/>
      <c r="H334" s="147"/>
    </row>
    <row r="335" spans="7:8" ht="12.75">
      <c r="G335" s="147"/>
      <c r="H335" s="147"/>
    </row>
    <row r="336" spans="7:8" ht="12.75">
      <c r="G336" s="147"/>
      <c r="H336" s="147"/>
    </row>
    <row r="337" spans="7:8" ht="12.75">
      <c r="G337" s="147"/>
      <c r="H337" s="147"/>
    </row>
    <row r="338" spans="7:8" ht="12.75">
      <c r="G338" s="147"/>
      <c r="H338" s="147"/>
    </row>
    <row r="339" spans="7:8" ht="12.75">
      <c r="G339" s="147"/>
      <c r="H339" s="147"/>
    </row>
    <row r="340" spans="7:8" ht="12.75">
      <c r="G340" s="147"/>
      <c r="H340" s="147"/>
    </row>
    <row r="341" spans="7:8" ht="12.75">
      <c r="G341" s="147"/>
      <c r="H341" s="147"/>
    </row>
    <row r="342" spans="7:8" ht="12.75">
      <c r="G342" s="147"/>
      <c r="H342" s="147"/>
    </row>
    <row r="343" spans="7:8" ht="12.75">
      <c r="G343" s="147"/>
      <c r="H343" s="147"/>
    </row>
    <row r="344" spans="7:8" ht="12.75">
      <c r="G344" s="147"/>
      <c r="H344" s="147"/>
    </row>
    <row r="345" spans="7:8" ht="12.75">
      <c r="G345" s="147"/>
      <c r="H345" s="147"/>
    </row>
    <row r="346" spans="7:8" ht="12.75">
      <c r="G346" s="147"/>
      <c r="H346" s="147"/>
    </row>
    <row r="347" spans="7:8" ht="12.75">
      <c r="G347" s="147"/>
      <c r="H347" s="147"/>
    </row>
    <row r="348" spans="7:8" ht="12.75">
      <c r="G348" s="147"/>
      <c r="H348" s="147"/>
    </row>
    <row r="349" spans="7:8" ht="12.75">
      <c r="G349" s="147"/>
      <c r="H349" s="147"/>
    </row>
    <row r="350" spans="7:8" ht="12.75">
      <c r="G350" s="147"/>
      <c r="H350" s="147"/>
    </row>
    <row r="351" spans="7:8" ht="12.75">
      <c r="G351" s="147"/>
      <c r="H351" s="147"/>
    </row>
    <row r="352" spans="7:8" ht="12.75">
      <c r="G352" s="147"/>
      <c r="H352" s="147"/>
    </row>
    <row r="353" spans="7:8" ht="12.75">
      <c r="G353" s="147"/>
      <c r="H353" s="147"/>
    </row>
    <row r="354" spans="7:8" ht="12.75">
      <c r="G354" s="147"/>
      <c r="H354" s="147"/>
    </row>
    <row r="355" spans="7:8" ht="12.75">
      <c r="G355" s="147"/>
      <c r="H355" s="147"/>
    </row>
    <row r="356" spans="7:8" ht="12.75">
      <c r="G356" s="147"/>
      <c r="H356" s="147"/>
    </row>
    <row r="357" spans="7:8" ht="12.75">
      <c r="G357" s="147"/>
      <c r="H357" s="147"/>
    </row>
    <row r="358" spans="7:8" ht="12.75">
      <c r="G358" s="147"/>
      <c r="H358" s="147"/>
    </row>
    <row r="359" spans="7:8" ht="12.75">
      <c r="G359" s="147"/>
      <c r="H359" s="147"/>
    </row>
    <row r="360" spans="7:8" ht="12.75">
      <c r="G360" s="147"/>
      <c r="H360" s="147"/>
    </row>
    <row r="361" spans="7:8" ht="12.75">
      <c r="G361" s="147"/>
      <c r="H361" s="147"/>
    </row>
    <row r="362" spans="7:8" ht="12.75">
      <c r="G362" s="147"/>
      <c r="H362" s="147"/>
    </row>
    <row r="363" spans="7:8" ht="12.75">
      <c r="G363" s="147"/>
      <c r="H363" s="147"/>
    </row>
    <row r="364" spans="7:8" ht="12.75">
      <c r="G364" s="147"/>
      <c r="H364" s="147"/>
    </row>
    <row r="365" spans="7:8" ht="12.75">
      <c r="G365" s="147"/>
      <c r="H365" s="147"/>
    </row>
    <row r="366" spans="7:8" ht="12.75">
      <c r="G366" s="147"/>
      <c r="H366" s="147"/>
    </row>
    <row r="367" spans="7:8" ht="12.75">
      <c r="G367" s="147"/>
      <c r="H367" s="147"/>
    </row>
    <row r="368" spans="7:8" ht="12.75">
      <c r="G368" s="147"/>
      <c r="H368" s="147"/>
    </row>
    <row r="369" spans="7:8" ht="12.75">
      <c r="G369" s="147"/>
      <c r="H369" s="147"/>
    </row>
    <row r="370" spans="7:8" ht="12.75">
      <c r="G370" s="147"/>
      <c r="H370" s="147"/>
    </row>
    <row r="371" spans="7:8" ht="12.75">
      <c r="G371" s="147"/>
      <c r="H371" s="147"/>
    </row>
    <row r="372" spans="7:8" ht="12.75">
      <c r="G372" s="147"/>
      <c r="H372" s="147"/>
    </row>
    <row r="373" spans="7:8" ht="12.75">
      <c r="G373" s="147"/>
      <c r="H373" s="147"/>
    </row>
    <row r="374" spans="7:8" ht="12.75">
      <c r="G374" s="147"/>
      <c r="H374" s="147"/>
    </row>
    <row r="375" spans="7:8" ht="12.75">
      <c r="G375" s="147"/>
      <c r="H375" s="147"/>
    </row>
    <row r="376" spans="7:8" ht="12.75">
      <c r="G376" s="147"/>
      <c r="H376" s="147"/>
    </row>
    <row r="377" spans="7:8" ht="12.75">
      <c r="G377" s="147"/>
      <c r="H377" s="147"/>
    </row>
    <row r="378" spans="7:8" ht="12.75">
      <c r="G378" s="147"/>
      <c r="H378" s="147"/>
    </row>
    <row r="379" spans="7:8" ht="12.75">
      <c r="G379" s="147"/>
      <c r="H379" s="147"/>
    </row>
    <row r="380" spans="7:8" ht="12.75">
      <c r="G380" s="147"/>
      <c r="H380" s="147"/>
    </row>
    <row r="381" spans="7:8" ht="12.75">
      <c r="G381" s="147"/>
      <c r="H381" s="147"/>
    </row>
    <row r="382" spans="7:8" ht="12.75">
      <c r="G382" s="147"/>
      <c r="H382" s="147"/>
    </row>
    <row r="383" spans="7:8" ht="12.75">
      <c r="G383" s="147"/>
      <c r="H383" s="147"/>
    </row>
    <row r="384" spans="7:8" ht="12.75">
      <c r="G384" s="147"/>
      <c r="H384" s="147"/>
    </row>
    <row r="385" spans="7:8" ht="12.75">
      <c r="G385" s="147"/>
      <c r="H385" s="147"/>
    </row>
    <row r="386" spans="7:8" ht="12.75">
      <c r="G386" s="147"/>
      <c r="H386" s="147"/>
    </row>
    <row r="387" spans="7:8" ht="12.75">
      <c r="G387" s="147"/>
      <c r="H387" s="147"/>
    </row>
    <row r="388" spans="7:8" ht="12.75">
      <c r="G388" s="147"/>
      <c r="H388" s="147"/>
    </row>
    <row r="389" spans="7:8" ht="12.75">
      <c r="G389" s="147"/>
      <c r="H389" s="147"/>
    </row>
    <row r="390" spans="7:8" ht="12.75">
      <c r="G390" s="147"/>
      <c r="H390" s="147"/>
    </row>
    <row r="391" spans="7:8" ht="12.75">
      <c r="G391" s="147"/>
      <c r="H391" s="147"/>
    </row>
    <row r="392" spans="7:8" ht="12.75">
      <c r="G392" s="147"/>
      <c r="H392" s="147"/>
    </row>
    <row r="393" spans="7:8" ht="12.75">
      <c r="G393" s="147"/>
      <c r="H393" s="147"/>
    </row>
    <row r="394" spans="7:8" ht="12.75">
      <c r="G394" s="147"/>
      <c r="H394" s="147"/>
    </row>
    <row r="395" spans="7:8" ht="12.75">
      <c r="G395" s="147"/>
      <c r="H395" s="147"/>
    </row>
    <row r="396" spans="7:8" ht="12.75">
      <c r="G396" s="147"/>
      <c r="H396" s="147"/>
    </row>
    <row r="397" spans="7:8" ht="12.75">
      <c r="G397" s="147"/>
      <c r="H397" s="147"/>
    </row>
    <row r="398" spans="7:8" ht="12.75">
      <c r="G398" s="147"/>
      <c r="H398" s="147"/>
    </row>
    <row r="399" spans="7:8" ht="12.75">
      <c r="G399" s="147"/>
      <c r="H399" s="147"/>
    </row>
    <row r="400" spans="7:8" ht="12.75">
      <c r="G400" s="147"/>
      <c r="H400" s="147"/>
    </row>
  </sheetData>
  <sheetProtection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1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'!C155</f>
        <v>2503125.6900000004</v>
      </c>
    </row>
    <row r="2" spans="1:5" ht="15.75">
      <c r="A2" s="4"/>
      <c r="B2" s="4"/>
      <c r="C2" s="4"/>
      <c r="D2" s="4" t="s">
        <v>29</v>
      </c>
      <c r="E2" s="5">
        <f>'аналіз фінансування '!D155</f>
        <v>588237.3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'!C155</f>
        <v>2503125.6900000004</v>
      </c>
    </row>
    <row r="2" spans="1:5" ht="15.75">
      <c r="A2" s="4"/>
      <c r="B2" s="4"/>
      <c r="C2" s="4"/>
      <c r="D2" s="4" t="s">
        <v>29</v>
      </c>
      <c r="E2" s="5">
        <f>'аналіз фінансування '!D155</f>
        <v>588237.3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2019-03-15T13:54:54Z</cp:lastPrinted>
  <dcterms:created xsi:type="dcterms:W3CDTF">2000-06-20T04:48:00Z</dcterms:created>
  <dcterms:modified xsi:type="dcterms:W3CDTF">2019-04-10T09:58:02Z</dcterms:modified>
  <cp:category/>
  <cp:version/>
  <cp:contentType/>
  <cp:contentStatus/>
</cp:coreProperties>
</file>